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" activeTab="0"/>
  </bookViews>
  <sheets>
    <sheet name="TDSheet" sheetId="1" r:id="rId1"/>
  </sheets>
  <definedNames>
    <definedName name="_xlnm.Print_Area" localSheetId="0">'TDSheet'!$A$1:$T$326</definedName>
  </definedNames>
  <calcPr fullCalcOnLoad="1"/>
</workbook>
</file>

<file path=xl/sharedStrings.xml><?xml version="1.0" encoding="utf-8"?>
<sst xmlns="http://schemas.openxmlformats.org/spreadsheetml/2006/main" count="553" uniqueCount="124">
  <si>
    <t>Приложение 8 к СанПиН 2.3/2.4.3590-20</t>
  </si>
  <si>
    <t>Примерное меню и пищевая ценность приготовляемых блюд</t>
  </si>
  <si>
    <t xml:space="preserve">Рацион: Школа </t>
  </si>
  <si>
    <t>понедельник</t>
  </si>
  <si>
    <t>Неделя:</t>
  </si>
  <si>
    <t>№ рец. по сборнику</t>
  </si>
  <si>
    <t>каша  молочная манная с маслом сливочным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</si>
  <si>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</si>
  <si>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</si>
  <si>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</si>
  <si>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</si>
  <si>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</si>
  <si>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</si>
  <si>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</si>
  <si>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</si>
  <si>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</si>
  <si>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В2</t>
  </si>
  <si>
    <t>C</t>
  </si>
  <si>
    <t>A</t>
  </si>
  <si>
    <t>E</t>
  </si>
  <si>
    <t>Ca</t>
  </si>
  <si>
    <t>P</t>
  </si>
  <si>
    <t>ZN</t>
  </si>
  <si>
    <t>I</t>
  </si>
  <si>
    <t>Mg</t>
  </si>
  <si>
    <t>Fe</t>
  </si>
  <si>
    <t>Завтрак молочный</t>
  </si>
  <si>
    <t>Бутерброд с сыром</t>
  </si>
  <si>
    <t>30/15</t>
  </si>
  <si>
    <t>Каша  молочная манная с маслом сливочным</t>
  </si>
  <si>
    <t>ПР</t>
  </si>
  <si>
    <t>Молоко ''Авишка''</t>
  </si>
  <si>
    <t>200</t>
  </si>
  <si>
    <t>Кондитерское изделие</t>
  </si>
  <si>
    <t>Итого за Завтрак молочный</t>
  </si>
  <si>
    <t>% от суточной нормы</t>
  </si>
  <si>
    <t>Обед (полноценный рацион питания)</t>
  </si>
  <si>
    <t>45</t>
  </si>
  <si>
    <t>Салат из белокочанной капусты с морковью</t>
  </si>
  <si>
    <t xml:space="preserve">Суп картофельный с горохом </t>
  </si>
  <si>
    <t>Палочки детские "Детские" запеченые (в соответствии с ГОСТ Р 55366-2012)</t>
  </si>
  <si>
    <t>Макаронные изделия отварные с маслом сливочным</t>
  </si>
  <si>
    <t xml:space="preserve">Компот из смеси сухофруктов     С- витаминизированный </t>
  </si>
  <si>
    <t>Хлеб ржано-пшеничный</t>
  </si>
  <si>
    <t>Фрукты</t>
  </si>
  <si>
    <t>Итого за Обед (полноценный рацион питания)</t>
  </si>
  <si>
    <t>Полдник</t>
  </si>
  <si>
    <t>конвертик с сыром</t>
  </si>
  <si>
    <t>Чай с лимоном</t>
  </si>
  <si>
    <t>Итого за Полдник</t>
  </si>
  <si>
    <t>Итого в день</t>
  </si>
  <si>
    <t>суточная норма</t>
  </si>
  <si>
    <t>Примерное меню и пищевая ценность приготовляемых блюд (лист 2)</t>
  </si>
  <si>
    <t>вторник</t>
  </si>
  <si>
    <t>№
рец.</t>
  </si>
  <si>
    <t>Прием пищи, наименование блюда</t>
  </si>
  <si>
    <t>Завтрак мясной</t>
  </si>
  <si>
    <t xml:space="preserve">Холодная закуска: Овощи порционно / Огурец </t>
  </si>
  <si>
    <t xml:space="preserve">Рис отварной с маслом сливочным </t>
  </si>
  <si>
    <t>Хлеб пшеничный</t>
  </si>
  <si>
    <t>Итого за Завтрак мясной</t>
  </si>
  <si>
    <t>Салат из свеклы с маслом растительным</t>
  </si>
  <si>
    <t>Суп картофельный с макаронными изделиями</t>
  </si>
  <si>
    <t>Рыба, запеченная с овощами и сыром</t>
  </si>
  <si>
    <t xml:space="preserve">Картофельное пюре с маслом сливочным </t>
  </si>
  <si>
    <t>Компот из быстрозамороженных ягод  (компотная смесь)</t>
  </si>
  <si>
    <t>Пирожок с  начинкой</t>
  </si>
  <si>
    <t>Кофейный напиток</t>
  </si>
  <si>
    <t>ПРИМЕЧАНИЕ  ** могут быть использованы нектары,морсы, напитки сокосодержащие (в т.ч. обогащенные)</t>
  </si>
  <si>
    <t>Примерное меню и пищевая ценность приготовляемых блюд (лист 3)</t>
  </si>
  <si>
    <t>Рацион: Школа</t>
  </si>
  <si>
    <t>среда</t>
  </si>
  <si>
    <t>Сгущенное молоко</t>
  </si>
  <si>
    <t>Пудинг творожный</t>
  </si>
  <si>
    <t xml:space="preserve">Салат из  свежих помидоров и огурцов с растительным маслом </t>
  </si>
  <si>
    <t xml:space="preserve">Борщ со свежей капустой </t>
  </si>
  <si>
    <t>Плов  с  птицей</t>
  </si>
  <si>
    <t>Лимонный напиток</t>
  </si>
  <si>
    <t>котлета в тесте</t>
  </si>
  <si>
    <t>Примерное меню и пищевая ценность приготовляемых блюд (лист 4)</t>
  </si>
  <si>
    <t>четверг</t>
  </si>
  <si>
    <t>Крокеты "Детские"  запеченые (в соответствии с ГОСТ Р 55366-2012)</t>
  </si>
  <si>
    <t>Рассольник "Ленинградский" на бульоне</t>
  </si>
  <si>
    <t>Бифштекс рубленый "Детский" (в соответствии с ГОСТ Р 55366-2012)</t>
  </si>
  <si>
    <t>пицца с курицей</t>
  </si>
  <si>
    <t>Примерное меню и пищевая ценность приготовляемых блюд (лист 5)</t>
  </si>
  <si>
    <t>пятница</t>
  </si>
  <si>
    <t>Овощи порционно /  Помидор</t>
  </si>
  <si>
    <t xml:space="preserve">Омлет натуральный с маслом сливочным </t>
  </si>
  <si>
    <t>Суп картофельный с рыбными консервами</t>
  </si>
  <si>
    <t>Котлеты "Куриные"</t>
  </si>
  <si>
    <t>Рагу овощное</t>
  </si>
  <si>
    <t>Оладьи с яблоками</t>
  </si>
  <si>
    <t>Примерное меню и пищевая ценность приготовляемых блюд (лист 6)</t>
  </si>
  <si>
    <t>Борщ "Сибирский" с фасолью</t>
  </si>
  <si>
    <t>Бедро цыпленка тушеное с овощами</t>
  </si>
  <si>
    <t>120/20</t>
  </si>
  <si>
    <t>Ватрушка с повидлом</t>
  </si>
  <si>
    <t>Примерное меню и пищевая ценность приготовляемых блюд (лист 7)</t>
  </si>
  <si>
    <t>Овощи порционно /  огурец</t>
  </si>
  <si>
    <t>Тефтели "Детские" запеченные под соусом молочным (в соответствии с ГОСТ Р 55366-2012)</t>
  </si>
  <si>
    <t>Винегрет овощной</t>
  </si>
  <si>
    <t>Каша гречневая  рассыпчатая с маслом</t>
  </si>
  <si>
    <t>Пирожок с начинкой</t>
  </si>
  <si>
    <t>Примерное меню и пищевая ценность приготовляемых блюд (лист 8)</t>
  </si>
  <si>
    <t>Суп картофельный с крупами (пшено)</t>
  </si>
  <si>
    <t xml:space="preserve">Жаркое по- домашнему </t>
  </si>
  <si>
    <t>Плюшка</t>
  </si>
  <si>
    <t>Примерное меню и пищевая ценность приготовляемых блюд (лист 9)</t>
  </si>
  <si>
    <t xml:space="preserve">I </t>
  </si>
  <si>
    <t xml:space="preserve">Щи из свежей капусты </t>
  </si>
  <si>
    <t>Биточки рыбные</t>
  </si>
  <si>
    <t>Оладьи "Домашние" со сгущенным молоком</t>
  </si>
  <si>
    <t xml:space="preserve">Какао с молоком </t>
  </si>
  <si>
    <t>Примерное меню и пищевая ценность приготовляемых блюд (лист 10)</t>
  </si>
  <si>
    <t>Зеленый горошек</t>
  </si>
  <si>
    <t xml:space="preserve">Суп картофельный с вермишелью на курином бульоне  </t>
  </si>
  <si>
    <t>Блинчики с начинкой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</si>
  <si>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</si>
  <si>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250</t>
  </si>
  <si>
    <t>Гуляш мясной</t>
  </si>
  <si>
    <t>50/50</t>
  </si>
  <si>
    <t>Булочка сдобная</t>
  </si>
  <si>
    <t xml:space="preserve">Каша Дружба молочная с маслом сливочным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</si>
</sst>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%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left"/>
    </xf>
    <xf numFmtId="2" fontId="0" fillId="24" borderId="0" xfId="0" applyNumberFormat="1" applyFill="1" applyAlignment="1">
      <alignment horizontal="left"/>
    </xf>
    <xf numFmtId="0" fontId="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24" borderId="0" xfId="0" applyFont="1" applyFill="1" applyAlignment="1">
      <alignment horizontal="left" vertical="center"/>
    </xf>
    <xf numFmtId="2" fontId="0" fillId="24" borderId="0" xfId="0" applyNumberFormat="1" applyFont="1" applyFill="1" applyAlignment="1">
      <alignment horizontal="left"/>
    </xf>
    <xf numFmtId="1" fontId="0" fillId="24" borderId="0" xfId="0" applyNumberFormat="1" applyFont="1" applyFill="1" applyAlignment="1">
      <alignment horizontal="left"/>
    </xf>
    <xf numFmtId="0" fontId="0" fillId="24" borderId="10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24" borderId="10" xfId="0" applyNumberFormat="1" applyFont="1" applyFill="1" applyBorder="1" applyAlignment="1">
      <alignment horizontal="center" vertical="top"/>
    </xf>
    <xf numFmtId="1" fontId="0" fillId="24" borderId="10" xfId="0" applyNumberFormat="1" applyFont="1" applyFill="1" applyBorder="1" applyAlignment="1">
      <alignment horizontal="center" vertical="top"/>
    </xf>
    <xf numFmtId="164" fontId="0" fillId="24" borderId="10" xfId="0" applyNumberFormat="1" applyFont="1" applyFill="1" applyBorder="1" applyAlignment="1">
      <alignment horizontal="center" vertical="top"/>
    </xf>
    <xf numFmtId="0" fontId="0" fillId="24" borderId="10" xfId="0" applyNumberFormat="1" applyFont="1" applyFill="1" applyBorder="1" applyAlignment="1">
      <alignment horizontal="center" vertical="top"/>
    </xf>
    <xf numFmtId="1" fontId="0" fillId="24" borderId="10" xfId="53" applyNumberFormat="1" applyFont="1" applyFill="1" applyBorder="1" applyAlignment="1">
      <alignment horizontal="center" vertical="center"/>
      <protection/>
    </xf>
    <xf numFmtId="49" fontId="0" fillId="24" borderId="10" xfId="53" applyNumberFormat="1" applyFont="1" applyFill="1" applyBorder="1" applyAlignment="1">
      <alignment horizontal="center" vertical="top"/>
      <protection/>
    </xf>
    <xf numFmtId="2" fontId="0" fillId="24" borderId="10" xfId="53" applyNumberFormat="1" applyFont="1" applyFill="1" applyBorder="1" applyAlignment="1">
      <alignment horizontal="center" vertical="top"/>
      <protection/>
    </xf>
    <xf numFmtId="0" fontId="0" fillId="24" borderId="10" xfId="53" applyNumberFormat="1" applyFont="1" applyFill="1" applyBorder="1" applyAlignment="1">
      <alignment horizontal="center" vertical="top"/>
      <protection/>
    </xf>
    <xf numFmtId="165" fontId="0" fillId="24" borderId="10" xfId="53" applyNumberFormat="1" applyFont="1" applyFill="1" applyBorder="1" applyAlignment="1">
      <alignment horizontal="center" vertical="top"/>
      <protection/>
    </xf>
    <xf numFmtId="0" fontId="0" fillId="24" borderId="10" xfId="0" applyNumberFormat="1" applyFont="1" applyFill="1" applyBorder="1" applyAlignment="1">
      <alignment horizontal="center" vertical="center"/>
    </xf>
    <xf numFmtId="2" fontId="0" fillId="24" borderId="10" xfId="53" applyNumberFormat="1" applyFont="1" applyFill="1" applyBorder="1" applyAlignment="1">
      <alignment horizontal="center" vertical="center"/>
      <protection/>
    </xf>
    <xf numFmtId="0" fontId="0" fillId="24" borderId="10" xfId="53" applyNumberFormat="1" applyFont="1" applyFill="1" applyBorder="1" applyAlignment="1">
      <alignment horizontal="center" vertical="center"/>
      <protection/>
    </xf>
    <xf numFmtId="165" fontId="0" fillId="24" borderId="10" xfId="53" applyNumberFormat="1" applyFont="1" applyFill="1" applyBorder="1" applyAlignment="1">
      <alignment horizontal="center" vertical="center"/>
      <protection/>
    </xf>
    <xf numFmtId="164" fontId="0" fillId="24" borderId="1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1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 vertical="top"/>
    </xf>
    <xf numFmtId="165" fontId="4" fillId="24" borderId="10" xfId="0" applyNumberFormat="1" applyFont="1" applyFill="1" applyBorder="1" applyAlignment="1">
      <alignment horizontal="center" vertical="top"/>
    </xf>
    <xf numFmtId="164" fontId="4" fillId="24" borderId="10" xfId="0" applyNumberFormat="1" applyFont="1" applyFill="1" applyBorder="1" applyAlignment="1">
      <alignment horizontal="center" vertical="top"/>
    </xf>
    <xf numFmtId="2" fontId="4" fillId="24" borderId="14" xfId="0" applyNumberFormat="1" applyFont="1" applyFill="1" applyBorder="1" applyAlignment="1">
      <alignment horizontal="left"/>
    </xf>
    <xf numFmtId="10" fontId="4" fillId="24" borderId="10" xfId="62" applyNumberFormat="1" applyFont="1" applyFill="1" applyBorder="1">
      <alignment/>
      <protection/>
    </xf>
    <xf numFmtId="166" fontId="4" fillId="24" borderId="10" xfId="62" applyNumberFormat="1" applyFont="1" applyFill="1" applyBorder="1">
      <alignment/>
      <protection/>
    </xf>
    <xf numFmtId="0" fontId="4" fillId="24" borderId="13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2" fontId="4" fillId="24" borderId="10" xfId="62" applyNumberFormat="1" applyFont="1" applyFill="1" applyBorder="1">
      <alignment/>
      <protection/>
    </xf>
    <xf numFmtId="49" fontId="0" fillId="24" borderId="10" xfId="53" applyNumberFormat="1" applyFont="1" applyFill="1" applyBorder="1" applyAlignment="1">
      <alignment horizontal="center" vertical="center"/>
      <protection/>
    </xf>
    <xf numFmtId="0" fontId="0" fillId="24" borderId="10" xfId="53" applyNumberFormat="1" applyFont="1" applyFill="1" applyBorder="1" applyAlignment="1">
      <alignment horizontal="center" vertical="top" wrapText="1"/>
      <protection/>
    </xf>
    <xf numFmtId="2" fontId="0" fillId="24" borderId="10" xfId="53" applyNumberFormat="1" applyFont="1" applyFill="1" applyBorder="1" applyAlignment="1">
      <alignment horizontal="center" vertical="top" wrapText="1"/>
      <protection/>
    </xf>
    <xf numFmtId="164" fontId="0" fillId="24" borderId="10" xfId="53" applyNumberFormat="1" applyFont="1" applyFill="1" applyBorder="1" applyAlignment="1">
      <alignment horizontal="center" vertical="top" wrapText="1"/>
      <protection/>
    </xf>
    <xf numFmtId="1" fontId="0" fillId="24" borderId="10" xfId="53" applyNumberFormat="1" applyFont="1" applyFill="1" applyBorder="1" applyAlignment="1">
      <alignment horizontal="center" vertical="top" wrapText="1"/>
      <protection/>
    </xf>
    <xf numFmtId="49" fontId="0" fillId="24" borderId="10" xfId="0" applyNumberFormat="1" applyFont="1" applyFill="1" applyBorder="1" applyAlignment="1">
      <alignment horizontal="center" vertical="top"/>
    </xf>
    <xf numFmtId="164" fontId="0" fillId="24" borderId="10" xfId="53" applyNumberFormat="1" applyFont="1" applyFill="1" applyBorder="1" applyAlignment="1">
      <alignment horizontal="center" vertical="top"/>
      <protection/>
    </xf>
    <xf numFmtId="1" fontId="0" fillId="24" borderId="10" xfId="53" applyNumberFormat="1" applyFont="1" applyFill="1" applyBorder="1" applyAlignment="1">
      <alignment horizontal="center" vertical="top"/>
      <protection/>
    </xf>
    <xf numFmtId="2" fontId="0" fillId="24" borderId="10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/>
    </xf>
    <xf numFmtId="165" fontId="0" fillId="24" borderId="10" xfId="0" applyNumberFormat="1" applyFont="1" applyFill="1" applyBorder="1" applyAlignment="1">
      <alignment horizontal="center" vertical="top"/>
    </xf>
    <xf numFmtId="0" fontId="4" fillId="24" borderId="13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2" fontId="4" fillId="24" borderId="0" xfId="0" applyNumberFormat="1" applyFont="1" applyFill="1" applyBorder="1" applyAlignment="1">
      <alignment horizontal="left"/>
    </xf>
    <xf numFmtId="10" fontId="4" fillId="24" borderId="0" xfId="62" applyNumberFormat="1" applyFont="1" applyFill="1">
      <alignment/>
      <protection/>
    </xf>
    <xf numFmtId="10" fontId="4" fillId="24" borderId="10" xfId="0" applyNumberFormat="1" applyFont="1" applyFill="1" applyBorder="1" applyAlignment="1">
      <alignment horizontal="center" vertical="top"/>
    </xf>
    <xf numFmtId="166" fontId="4" fillId="24" borderId="10" xfId="0" applyNumberFormat="1" applyFont="1" applyFill="1" applyBorder="1" applyAlignment="1">
      <alignment horizontal="center" vertical="top"/>
    </xf>
    <xf numFmtId="9" fontId="4" fillId="24" borderId="10" xfId="0" applyNumberFormat="1" applyFont="1" applyFill="1" applyBorder="1" applyAlignment="1">
      <alignment horizontal="center" vertical="top"/>
    </xf>
    <xf numFmtId="0" fontId="4" fillId="24" borderId="0" xfId="0" applyNumberFormat="1" applyFont="1" applyFill="1" applyAlignment="1">
      <alignment horizontal="right"/>
    </xf>
    <xf numFmtId="2" fontId="4" fillId="24" borderId="0" xfId="0" applyNumberFormat="1" applyFont="1" applyFill="1" applyAlignment="1">
      <alignment horizontal="right"/>
    </xf>
    <xf numFmtId="1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top" wrapText="1"/>
    </xf>
    <xf numFmtId="2" fontId="0" fillId="24" borderId="10" xfId="0" applyNumberFormat="1" applyFont="1" applyFill="1" applyBorder="1" applyAlignment="1">
      <alignment horizontal="center" vertical="top" wrapText="1"/>
    </xf>
    <xf numFmtId="164" fontId="0" fillId="24" borderId="10" xfId="0" applyNumberFormat="1" applyFont="1" applyFill="1" applyBorder="1" applyAlignment="1">
      <alignment horizontal="center" vertical="top" wrapText="1"/>
    </xf>
    <xf numFmtId="1" fontId="0" fillId="24" borderId="10" xfId="0" applyNumberFormat="1" applyFont="1" applyFill="1" applyBorder="1" applyAlignment="1">
      <alignment horizontal="center" vertical="top" wrapText="1"/>
    </xf>
    <xf numFmtId="167" fontId="0" fillId="24" borderId="10" xfId="53" applyNumberFormat="1" applyFont="1" applyFill="1" applyBorder="1" applyAlignment="1">
      <alignment horizontal="center" vertical="top"/>
      <protection/>
    </xf>
    <xf numFmtId="0" fontId="0" fillId="24" borderId="13" xfId="0" applyNumberFormat="1" applyFont="1" applyFill="1" applyBorder="1" applyAlignment="1">
      <alignment horizontal="center" vertical="center"/>
    </xf>
    <xf numFmtId="166" fontId="4" fillId="24" borderId="11" xfId="62" applyNumberFormat="1" applyFont="1" applyFill="1" applyBorder="1">
      <alignment/>
      <protection/>
    </xf>
    <xf numFmtId="0" fontId="5" fillId="24" borderId="15" xfId="0" applyFont="1" applyFill="1" applyBorder="1" applyAlignment="1">
      <alignment horizontal="left"/>
    </xf>
    <xf numFmtId="2" fontId="4" fillId="24" borderId="15" xfId="0" applyNumberFormat="1" applyFont="1" applyFill="1" applyBorder="1" applyAlignment="1">
      <alignment horizontal="left"/>
    </xf>
    <xf numFmtId="166" fontId="4" fillId="24" borderId="0" xfId="62" applyNumberFormat="1" applyFont="1" applyFill="1">
      <alignment/>
      <protection/>
    </xf>
    <xf numFmtId="1" fontId="4" fillId="24" borderId="10" xfId="0" applyNumberFormat="1" applyFont="1" applyFill="1" applyBorder="1" applyAlignment="1">
      <alignment horizontal="center" vertical="top"/>
    </xf>
    <xf numFmtId="10" fontId="0" fillId="0" borderId="0" xfId="0" applyNumberFormat="1" applyFont="1" applyAlignment="1">
      <alignment/>
    </xf>
    <xf numFmtId="0" fontId="0" fillId="24" borderId="0" xfId="0" applyNumberFormat="1" applyFont="1" applyFill="1" applyAlignment="1">
      <alignment horizontal="right"/>
    </xf>
    <xf numFmtId="2" fontId="0" fillId="24" borderId="16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/>
    </xf>
    <xf numFmtId="10" fontId="4" fillId="24" borderId="15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165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2" fontId="0" fillId="0" borderId="10" xfId="53" applyNumberFormat="1" applyFont="1" applyFill="1" applyBorder="1" applyAlignment="1">
      <alignment horizontal="center" vertical="top"/>
      <protection/>
    </xf>
    <xf numFmtId="0" fontId="0" fillId="0" borderId="10" xfId="53" applyNumberFormat="1" applyFont="1" applyFill="1" applyBorder="1" applyAlignment="1">
      <alignment horizontal="center" vertical="top"/>
      <protection/>
    </xf>
    <xf numFmtId="0" fontId="4" fillId="0" borderId="15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left"/>
    </xf>
    <xf numFmtId="10" fontId="4" fillId="0" borderId="15" xfId="0" applyNumberFormat="1" applyFont="1" applyFill="1" applyBorder="1" applyAlignment="1">
      <alignment horizontal="center" vertical="top"/>
    </xf>
    <xf numFmtId="10" fontId="4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165" fontId="0" fillId="0" borderId="10" xfId="53" applyNumberFormat="1" applyFont="1" applyFill="1" applyBorder="1" applyAlignment="1">
      <alignment horizontal="center" vertical="top"/>
      <protection/>
    </xf>
    <xf numFmtId="164" fontId="0" fillId="0" borderId="10" xfId="53" applyNumberFormat="1" applyFont="1" applyFill="1" applyBorder="1" applyAlignment="1">
      <alignment horizontal="center" vertical="top"/>
      <protection/>
    </xf>
    <xf numFmtId="2" fontId="4" fillId="24" borderId="13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right" vertical="center" indent="1"/>
    </xf>
    <xf numFmtId="164" fontId="0" fillId="24" borderId="10" xfId="0" applyNumberFormat="1" applyFont="1" applyFill="1" applyBorder="1" applyAlignment="1">
      <alignment horizontal="right" vertical="center" indent="1"/>
    </xf>
    <xf numFmtId="2" fontId="0" fillId="24" borderId="10" xfId="0" applyNumberFormat="1" applyFont="1" applyFill="1" applyBorder="1" applyAlignment="1">
      <alignment horizontal="right" vertical="center" indent="1"/>
    </xf>
    <xf numFmtId="1" fontId="4" fillId="24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4" fillId="24" borderId="0" xfId="0" applyFont="1" applyFill="1" applyAlignment="1">
      <alignment horizontal="left"/>
    </xf>
    <xf numFmtId="0" fontId="1" fillId="24" borderId="0" xfId="0" applyFont="1" applyFill="1" applyAlignment="1">
      <alignment vertical="center"/>
    </xf>
    <xf numFmtId="2" fontId="1" fillId="24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0" fillId="25" borderId="17" xfId="54" applyNumberFormat="1" applyFont="1" applyFill="1" applyBorder="1" applyAlignment="1">
      <alignment horizontal="center" vertical="top"/>
      <protection/>
    </xf>
    <xf numFmtId="165" fontId="0" fillId="25" borderId="17" xfId="54" applyNumberFormat="1" applyFont="1" applyFill="1" applyBorder="1" applyAlignment="1">
      <alignment horizontal="center" vertical="top"/>
      <protection/>
    </xf>
    <xf numFmtId="2" fontId="0" fillId="25" borderId="17" xfId="54" applyNumberFormat="1" applyFont="1" applyFill="1" applyBorder="1" applyAlignment="1">
      <alignment horizontal="center" vertical="top"/>
      <protection/>
    </xf>
    <xf numFmtId="164" fontId="0" fillId="25" borderId="17" xfId="54" applyNumberFormat="1" applyFont="1" applyFill="1" applyBorder="1" applyAlignment="1">
      <alignment horizontal="center" vertical="top"/>
      <protection/>
    </xf>
    <xf numFmtId="1" fontId="0" fillId="24" borderId="10" xfId="55" applyNumberFormat="1" applyFont="1" applyFill="1" applyBorder="1" applyAlignment="1">
      <alignment horizontal="center" vertical="center"/>
      <protection/>
    </xf>
    <xf numFmtId="2" fontId="0" fillId="24" borderId="10" xfId="55" applyNumberFormat="1" applyFont="1" applyFill="1" applyBorder="1" applyAlignment="1">
      <alignment horizontal="center" vertical="top"/>
      <protection/>
    </xf>
    <xf numFmtId="1" fontId="0" fillId="24" borderId="10" xfId="55" applyNumberFormat="1" applyFont="1" applyFill="1" applyBorder="1" applyAlignment="1">
      <alignment horizontal="center" vertical="top"/>
      <protection/>
    </xf>
    <xf numFmtId="164" fontId="0" fillId="24" borderId="10" xfId="55" applyNumberFormat="1" applyFont="1" applyFill="1" applyBorder="1" applyAlignment="1">
      <alignment horizontal="center" vertical="top"/>
      <protection/>
    </xf>
    <xf numFmtId="2" fontId="0" fillId="24" borderId="10" xfId="53" applyNumberFormat="1" applyFont="1" applyFill="1" applyBorder="1" applyAlignment="1">
      <alignment horizontal="center" vertical="top"/>
      <protection/>
    </xf>
    <xf numFmtId="0" fontId="0" fillId="24" borderId="10" xfId="53" applyNumberFormat="1" applyFont="1" applyFill="1" applyBorder="1" applyAlignment="1">
      <alignment horizontal="center" vertical="top"/>
      <protection/>
    </xf>
    <xf numFmtId="165" fontId="0" fillId="24" borderId="10" xfId="53" applyNumberFormat="1" applyFont="1" applyFill="1" applyBorder="1" applyAlignment="1">
      <alignment horizontal="center" vertical="top"/>
      <protection/>
    </xf>
    <xf numFmtId="0" fontId="0" fillId="24" borderId="10" xfId="55" applyNumberFormat="1" applyFont="1" applyFill="1" applyBorder="1" applyAlignment="1">
      <alignment horizontal="center" vertical="center"/>
      <protection/>
    </xf>
    <xf numFmtId="0" fontId="0" fillId="24" borderId="10" xfId="53" applyNumberFormat="1" applyFont="1" applyFill="1" applyBorder="1" applyAlignment="1">
      <alignment horizontal="center" vertical="center"/>
      <protection/>
    </xf>
    <xf numFmtId="164" fontId="0" fillId="24" borderId="10" xfId="53" applyNumberFormat="1" applyFont="1" applyFill="1" applyBorder="1" applyAlignment="1">
      <alignment horizontal="center" vertical="top"/>
      <protection/>
    </xf>
    <xf numFmtId="1" fontId="0" fillId="24" borderId="10" xfId="53" applyNumberFormat="1" applyFont="1" applyFill="1" applyBorder="1" applyAlignment="1">
      <alignment horizontal="center" vertical="top"/>
      <protection/>
    </xf>
    <xf numFmtId="1" fontId="0" fillId="24" borderId="10" xfId="55" applyNumberFormat="1" applyFont="1" applyFill="1" applyBorder="1" applyAlignment="1">
      <alignment horizontal="center" vertical="center" wrapText="1"/>
      <protection/>
    </xf>
    <xf numFmtId="0" fontId="0" fillId="24" borderId="10" xfId="55" applyNumberFormat="1" applyFont="1" applyFill="1" applyBorder="1" applyAlignment="1">
      <alignment horizontal="center" vertical="top" wrapText="1"/>
      <protection/>
    </xf>
    <xf numFmtId="2" fontId="0" fillId="24" borderId="10" xfId="55" applyNumberFormat="1" applyFont="1" applyFill="1" applyBorder="1" applyAlignment="1">
      <alignment horizontal="center" vertical="top" wrapText="1"/>
      <protection/>
    </xf>
    <xf numFmtId="164" fontId="0" fillId="24" borderId="10" xfId="55" applyNumberFormat="1" applyFont="1" applyFill="1" applyBorder="1" applyAlignment="1">
      <alignment horizontal="center" vertical="top" wrapText="1"/>
      <protection/>
    </xf>
    <xf numFmtId="1" fontId="0" fillId="24" borderId="10" xfId="55" applyNumberFormat="1" applyFont="1" applyFill="1" applyBorder="1" applyAlignment="1">
      <alignment horizontal="center" vertical="top" wrapText="1"/>
      <protection/>
    </xf>
    <xf numFmtId="167" fontId="0" fillId="24" borderId="10" xfId="53" applyNumberFormat="1" applyFont="1" applyFill="1" applyBorder="1" applyAlignment="1">
      <alignment horizontal="center" vertical="top"/>
      <protection/>
    </xf>
    <xf numFmtId="1" fontId="0" fillId="24" borderId="10" xfId="53" applyNumberFormat="1" applyFont="1" applyFill="1" applyBorder="1" applyAlignment="1">
      <alignment horizontal="center" vertical="center"/>
      <protection/>
    </xf>
    <xf numFmtId="3" fontId="0" fillId="24" borderId="10" xfId="53" applyNumberFormat="1" applyFont="1" applyFill="1" applyBorder="1" applyAlignment="1">
      <alignment horizontal="center" vertical="center"/>
      <protection/>
    </xf>
    <xf numFmtId="0" fontId="0" fillId="24" borderId="0" xfId="0" applyNumberFormat="1" applyFont="1" applyFill="1" applyBorder="1" applyAlignment="1">
      <alignment horizontal="right"/>
    </xf>
    <xf numFmtId="0" fontId="3" fillId="24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center"/>
    </xf>
    <xf numFmtId="0" fontId="4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0" fontId="0" fillId="24" borderId="10" xfId="53" applyNumberFormat="1" applyFont="1" applyFill="1" applyBorder="1" applyAlignment="1">
      <alignment horizontal="left" vertical="center" wrapText="1"/>
      <protection/>
    </xf>
    <xf numFmtId="0" fontId="0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inden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53" applyNumberFormat="1" applyFont="1" applyFill="1" applyBorder="1" applyAlignment="1">
      <alignment horizontal="left" vertical="center" wrapText="1"/>
      <protection/>
    </xf>
    <xf numFmtId="0" fontId="0" fillId="24" borderId="10" xfId="55" applyNumberFormat="1" applyFont="1" applyFill="1" applyBorder="1" applyAlignment="1">
      <alignment horizontal="left" vertical="center" wrapText="1"/>
      <protection/>
    </xf>
    <xf numFmtId="0" fontId="0" fillId="24" borderId="13" xfId="0" applyNumberFormat="1" applyFont="1" applyFill="1" applyBorder="1" applyAlignment="1">
      <alignment horizontal="left" vertical="center" wrapText="1"/>
    </xf>
    <xf numFmtId="0" fontId="0" fillId="24" borderId="14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0" fontId="4" fillId="24" borderId="10" xfId="0" applyNumberFormat="1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1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2" fontId="0" fillId="0" borderId="10" xfId="0" applyNumberFormat="1" applyFont="1" applyFill="1" applyBorder="1" applyAlignment="1">
      <alignment horizontal="left" vertical="center" wrapText="1"/>
    </xf>
    <xf numFmtId="2" fontId="4" fillId="24" borderId="10" xfId="0" applyNumberFormat="1" applyFont="1" applyFill="1" applyBorder="1" applyAlignment="1">
      <alignment horizontal="left" inden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2" fontId="0" fillId="24" borderId="10" xfId="53" applyNumberFormat="1" applyFont="1" applyFill="1" applyBorder="1" applyAlignment="1">
      <alignment horizontal="left" vertical="center" wrapText="1"/>
      <protection/>
    </xf>
    <xf numFmtId="0" fontId="6" fillId="24" borderId="0" xfId="0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center" wrapText="1"/>
    </xf>
    <xf numFmtId="1" fontId="0" fillId="24" borderId="10" xfId="0" applyNumberFormat="1" applyFont="1" applyFill="1" applyBorder="1" applyAlignment="1">
      <alignment horizontal="center" vertical="top"/>
    </xf>
    <xf numFmtId="2" fontId="0" fillId="24" borderId="10" xfId="0" applyNumberFormat="1" applyFont="1" applyFill="1" applyBorder="1" applyAlignment="1">
      <alignment horizontal="center" vertical="top"/>
    </xf>
    <xf numFmtId="2" fontId="0" fillId="24" borderId="10" xfId="0" applyNumberFormat="1" applyFont="1" applyFill="1" applyBorder="1" applyAlignment="1">
      <alignment horizontal="left" vertical="center" wrapText="1"/>
    </xf>
    <xf numFmtId="0" fontId="0" fillId="24" borderId="10" xfId="53" applyNumberFormat="1" applyFont="1" applyFill="1" applyBorder="1" applyAlignment="1">
      <alignment horizontal="left" vertical="center" wrapText="1"/>
      <protection/>
    </xf>
    <xf numFmtId="0" fontId="0" fillId="24" borderId="10" xfId="53" applyNumberFormat="1" applyFont="1" applyFill="1" applyBorder="1" applyAlignment="1">
      <alignment horizontal="center" vertical="top" wrapText="1"/>
      <protection/>
    </xf>
    <xf numFmtId="2" fontId="0" fillId="24" borderId="10" xfId="53" applyNumberFormat="1" applyFont="1" applyFill="1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8"/>
  <sheetViews>
    <sheetView tabSelected="1" zoomScale="85" zoomScaleNormal="85" zoomScalePageLayoutView="0" workbookViewId="0" topLeftCell="A280">
      <selection activeCell="B307" sqref="B307:E307"/>
    </sheetView>
  </sheetViews>
  <sheetFormatPr defaultColWidth="9.33203125" defaultRowHeight="11.25"/>
  <cols>
    <col min="1" max="1" width="9.5" style="1" customWidth="1"/>
    <col min="2" max="2" width="16.33203125" style="1" customWidth="1"/>
    <col min="3" max="3" width="25.16015625" style="1" customWidth="1"/>
    <col min="4" max="4" width="8" style="2" customWidth="1"/>
    <col min="5" max="5" width="14.83203125" style="3" customWidth="1"/>
    <col min="6" max="6" width="10.33203125" style="3" customWidth="1"/>
    <col min="7" max="7" width="9.66015625" style="2" customWidth="1"/>
    <col min="8" max="8" width="8.5" style="2" customWidth="1"/>
    <col min="9" max="9" width="10" style="2" customWidth="1"/>
    <col min="10" max="10" width="9" style="2" customWidth="1"/>
    <col min="11" max="11" width="9.83203125" style="2" customWidth="1"/>
    <col min="12" max="12" width="12.33203125" style="2" customWidth="1"/>
    <col min="13" max="13" width="10.33203125" style="2" customWidth="1"/>
    <col min="14" max="14" width="9.5" style="2" customWidth="1"/>
    <col min="15" max="15" width="10.66015625" style="2" customWidth="1"/>
    <col min="16" max="17" width="9.16015625" style="2" customWidth="1"/>
    <col min="18" max="18" width="9" style="2" customWidth="1"/>
    <col min="19" max="19" width="9.5" style="2" customWidth="1"/>
    <col min="20" max="20" width="8.66015625" style="2" customWidth="1"/>
  </cols>
  <sheetData>
    <row r="1" spans="1:20" s="9" customFormat="1" ht="11.25" customHeight="1">
      <c r="A1" s="4"/>
      <c r="B1" s="5"/>
      <c r="C1" s="5"/>
      <c r="D1" s="6"/>
      <c r="E1" s="7"/>
      <c r="F1" s="7"/>
      <c r="G1" s="6"/>
      <c r="H1" s="6"/>
      <c r="I1" s="6"/>
      <c r="J1" s="6"/>
      <c r="K1" s="6"/>
      <c r="L1" s="8"/>
      <c r="M1" s="143" t="s">
        <v>0</v>
      </c>
      <c r="N1" s="143"/>
      <c r="O1" s="143"/>
      <c r="P1" s="143"/>
      <c r="Q1" s="143"/>
      <c r="R1" s="143"/>
      <c r="S1" s="143"/>
      <c r="T1" s="143"/>
    </row>
    <row r="2" spans="1:20" s="9" customFormat="1" ht="15.75" customHeigh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s="9" customFormat="1" ht="11.25" customHeight="1">
      <c r="A3" s="10" t="s">
        <v>2</v>
      </c>
      <c r="B3" s="5"/>
      <c r="C3" s="5"/>
      <c r="D3" s="8"/>
      <c r="E3" s="11"/>
      <c r="F3" s="7"/>
      <c r="G3" s="145" t="s">
        <v>3</v>
      </c>
      <c r="H3" s="145"/>
      <c r="I3" s="145"/>
      <c r="J3" s="6"/>
      <c r="K3" s="6"/>
      <c r="L3" s="146"/>
      <c r="M3" s="146"/>
      <c r="N3" s="147"/>
      <c r="O3" s="147"/>
      <c r="P3" s="147"/>
      <c r="Q3" s="147"/>
      <c r="R3" s="6"/>
      <c r="S3" s="6"/>
      <c r="T3" s="6"/>
    </row>
    <row r="4" spans="1:20" s="9" customFormat="1" ht="11.25" customHeight="1">
      <c r="A4" s="5"/>
      <c r="B4" s="5"/>
      <c r="C4" s="5"/>
      <c r="D4" s="146" t="s">
        <v>4</v>
      </c>
      <c r="E4" s="146"/>
      <c r="F4" s="146"/>
      <c r="G4" s="12">
        <v>1</v>
      </c>
      <c r="H4" s="6"/>
      <c r="I4" s="8"/>
      <c r="J4" s="8"/>
      <c r="K4" s="8"/>
      <c r="L4" s="146"/>
      <c r="M4" s="146"/>
      <c r="N4" s="145"/>
      <c r="O4" s="145"/>
      <c r="P4" s="145"/>
      <c r="Q4" s="145"/>
      <c r="R4" s="145"/>
      <c r="S4" s="145"/>
      <c r="T4" s="145"/>
    </row>
    <row r="5" spans="1:20" s="9" customFormat="1" ht="21.75" customHeight="1">
      <c r="A5" s="149" t="s">
        <v>5</v>
      </c>
      <c r="B5" s="149" t="s">
        <v>6</v>
      </c>
      <c r="C5" s="149"/>
      <c r="D5" s="149" t="s">
        <v>7</v>
      </c>
      <c r="E5" s="14"/>
      <c r="F5" s="149" t="s">
        <v>8</v>
      </c>
      <c r="G5" s="149"/>
      <c r="H5" s="149"/>
      <c r="I5" s="149" t="s">
        <v>9</v>
      </c>
      <c r="J5" s="149" t="s">
        <v>10</v>
      </c>
      <c r="K5" s="149"/>
      <c r="L5" s="149"/>
      <c r="M5" s="149"/>
      <c r="N5" s="149"/>
      <c r="O5" s="149" t="s">
        <v>11</v>
      </c>
      <c r="P5" s="149"/>
      <c r="Q5" s="149"/>
      <c r="R5" s="149"/>
      <c r="S5" s="149"/>
      <c r="T5" s="149"/>
    </row>
    <row r="6" spans="1:20" s="9" customFormat="1" ht="21" customHeight="1">
      <c r="A6" s="149"/>
      <c r="B6" s="149"/>
      <c r="C6" s="149"/>
      <c r="D6" s="149"/>
      <c r="E6" s="15"/>
      <c r="F6" s="16" t="s">
        <v>12</v>
      </c>
      <c r="G6" s="13" t="s">
        <v>13</v>
      </c>
      <c r="H6" s="13" t="s">
        <v>14</v>
      </c>
      <c r="I6" s="149"/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  <c r="T6" s="13" t="s">
        <v>25</v>
      </c>
    </row>
    <row r="7" spans="1:20" s="9" customFormat="1" ht="11.25" customHeight="1">
      <c r="A7" s="17">
        <v>1</v>
      </c>
      <c r="B7" s="150">
        <v>2</v>
      </c>
      <c r="C7" s="150"/>
      <c r="D7" s="18">
        <v>3</v>
      </c>
      <c r="E7" s="19"/>
      <c r="F7" s="19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</row>
    <row r="8" spans="1:20" s="9" customFormat="1" ht="11.25" customHeight="1">
      <c r="A8" s="151" t="s">
        <v>26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</row>
    <row r="9" spans="1:20" s="6" customFormat="1" ht="11.25" customHeight="1">
      <c r="A9" s="135" t="s">
        <v>30</v>
      </c>
      <c r="B9" s="154" t="s">
        <v>57</v>
      </c>
      <c r="C9" s="154"/>
      <c r="D9" s="136">
        <v>16</v>
      </c>
      <c r="E9" s="137">
        <v>2.48</v>
      </c>
      <c r="F9" s="137">
        <v>0.3333333333333333</v>
      </c>
      <c r="G9" s="137">
        <v>0.04</v>
      </c>
      <c r="H9" s="137">
        <v>1.1333333333333333</v>
      </c>
      <c r="I9" s="137">
        <v>6.226666666666667</v>
      </c>
      <c r="J9" s="138">
        <v>0.009</v>
      </c>
      <c r="K9" s="137">
        <v>0.01</v>
      </c>
      <c r="L9" s="139">
        <v>3</v>
      </c>
      <c r="M9" s="138">
        <v>0.003</v>
      </c>
      <c r="N9" s="136">
        <v>0.03</v>
      </c>
      <c r="O9" s="137">
        <v>6.9</v>
      </c>
      <c r="P9" s="137">
        <v>12.6</v>
      </c>
      <c r="Q9" s="138">
        <v>0.064</v>
      </c>
      <c r="R9" s="138">
        <v>0.001</v>
      </c>
      <c r="S9" s="137">
        <v>4.2</v>
      </c>
      <c r="T9" s="137">
        <v>0.18</v>
      </c>
    </row>
    <row r="10" spans="1:20" s="6" customFormat="1" ht="21.75" customHeight="1">
      <c r="A10" s="17">
        <v>591</v>
      </c>
      <c r="B10" s="155" t="s">
        <v>120</v>
      </c>
      <c r="C10" s="156"/>
      <c r="D10" s="56" t="s">
        <v>121</v>
      </c>
      <c r="E10" s="23">
        <v>36.71</v>
      </c>
      <c r="F10" s="23">
        <v>5.86</v>
      </c>
      <c r="G10" s="23">
        <v>16.31</v>
      </c>
      <c r="H10" s="23">
        <v>3.07</v>
      </c>
      <c r="I10" s="23">
        <v>182.51</v>
      </c>
      <c r="J10" s="23">
        <v>0.14</v>
      </c>
      <c r="K10" s="23">
        <v>0.05</v>
      </c>
      <c r="L10" s="23">
        <v>0.09</v>
      </c>
      <c r="M10" s="25">
        <v>0</v>
      </c>
      <c r="N10" s="26">
        <v>0</v>
      </c>
      <c r="O10" s="23">
        <v>9.54</v>
      </c>
      <c r="P10" s="23">
        <v>63.38</v>
      </c>
      <c r="Q10" s="24">
        <v>1.12</v>
      </c>
      <c r="R10" s="25">
        <v>2.55</v>
      </c>
      <c r="S10" s="23">
        <v>11.3</v>
      </c>
      <c r="T10" s="23">
        <v>0.75</v>
      </c>
    </row>
    <row r="11" spans="1:20" s="6" customFormat="1" ht="12.75" customHeight="1">
      <c r="A11" s="124">
        <v>304</v>
      </c>
      <c r="B11" s="154" t="s">
        <v>58</v>
      </c>
      <c r="C11" s="154"/>
      <c r="D11" s="126">
        <v>180</v>
      </c>
      <c r="E11" s="125">
        <v>8.24</v>
      </c>
      <c r="F11" s="128">
        <v>4.44</v>
      </c>
      <c r="G11" s="128">
        <v>6.44</v>
      </c>
      <c r="H11" s="128">
        <v>44.016</v>
      </c>
      <c r="I11" s="128">
        <v>251.82</v>
      </c>
      <c r="J11" s="128">
        <v>0.036</v>
      </c>
      <c r="K11" s="128">
        <v>0.024</v>
      </c>
      <c r="L11" s="129">
        <v>0</v>
      </c>
      <c r="M11" s="128">
        <v>0.048</v>
      </c>
      <c r="N11" s="129">
        <v>0</v>
      </c>
      <c r="O11" s="130">
        <v>17.928</v>
      </c>
      <c r="P11" s="130">
        <v>95.256</v>
      </c>
      <c r="Q11" s="134">
        <v>0</v>
      </c>
      <c r="R11" s="140">
        <v>0.001</v>
      </c>
      <c r="S11" s="130">
        <v>33.468</v>
      </c>
      <c r="T11" s="128">
        <v>0.708</v>
      </c>
    </row>
    <row r="12" spans="1:20" s="6" customFormat="1" ht="11.25" customHeight="1">
      <c r="A12" s="132">
        <v>377</v>
      </c>
      <c r="B12" s="153" t="s">
        <v>48</v>
      </c>
      <c r="C12" s="153"/>
      <c r="D12" s="134">
        <v>200</v>
      </c>
      <c r="E12" s="128">
        <v>3.6</v>
      </c>
      <c r="F12" s="128">
        <v>0.26</v>
      </c>
      <c r="G12" s="128">
        <v>0.06</v>
      </c>
      <c r="H12" s="128">
        <v>15.22</v>
      </c>
      <c r="I12" s="128">
        <v>62.46</v>
      </c>
      <c r="J12" s="128">
        <v>0</v>
      </c>
      <c r="K12" s="128">
        <v>0.01</v>
      </c>
      <c r="L12" s="128">
        <v>2.9</v>
      </c>
      <c r="M12" s="129">
        <v>0</v>
      </c>
      <c r="N12" s="128">
        <v>0.06</v>
      </c>
      <c r="O12" s="128">
        <v>8.05</v>
      </c>
      <c r="P12" s="128">
        <v>9.78</v>
      </c>
      <c r="Q12" s="128">
        <v>0.017</v>
      </c>
      <c r="R12" s="133">
        <v>0</v>
      </c>
      <c r="S12" s="128">
        <v>5.24</v>
      </c>
      <c r="T12" s="128">
        <v>0.87</v>
      </c>
    </row>
    <row r="13" spans="1:20" s="6" customFormat="1" ht="12.75" customHeight="1">
      <c r="A13" s="131" t="s">
        <v>30</v>
      </c>
      <c r="B13" s="154" t="s">
        <v>59</v>
      </c>
      <c r="C13" s="154"/>
      <c r="D13" s="126">
        <v>40</v>
      </c>
      <c r="E13" s="125">
        <v>2.6</v>
      </c>
      <c r="F13" s="125">
        <v>2.0266666666666664</v>
      </c>
      <c r="G13" s="127">
        <v>0.21333333333333335</v>
      </c>
      <c r="H13" s="127">
        <v>13.120000000000001</v>
      </c>
      <c r="I13" s="127">
        <v>62.50666666666667</v>
      </c>
      <c r="J13" s="127">
        <v>0.02666666666666667</v>
      </c>
      <c r="K13" s="127">
        <v>0.013333333333333334</v>
      </c>
      <c r="L13" s="127">
        <v>0.5866666666666667</v>
      </c>
      <c r="M13" s="127">
        <v>0</v>
      </c>
      <c r="N13" s="127">
        <v>0.9333333333333333</v>
      </c>
      <c r="O13" s="127">
        <v>5.333333333333333</v>
      </c>
      <c r="P13" s="127">
        <v>17.333333333333332</v>
      </c>
      <c r="Q13" s="127">
        <v>0.010666666666666666</v>
      </c>
      <c r="R13" s="127">
        <v>0.0013333333333333333</v>
      </c>
      <c r="S13" s="127">
        <v>0</v>
      </c>
      <c r="T13" s="127">
        <v>0.29333333333333333</v>
      </c>
    </row>
    <row r="14" spans="1:20" s="9" customFormat="1" ht="11.25" customHeight="1">
      <c r="A14" s="37" t="s">
        <v>34</v>
      </c>
      <c r="B14" s="38"/>
      <c r="C14" s="38"/>
      <c r="D14" s="39">
        <v>550</v>
      </c>
      <c r="E14" s="40">
        <f>SUM(E9:E13)</f>
        <v>53.63</v>
      </c>
      <c r="F14" s="41">
        <f>SUM(F9:F13)</f>
        <v>12.919999999999998</v>
      </c>
      <c r="G14" s="41">
        <f aca="true" t="shared" si="0" ref="G14:T14">SUM(G9:G13)</f>
        <v>23.063333333333333</v>
      </c>
      <c r="H14" s="41">
        <f t="shared" si="0"/>
        <v>76.55933333333333</v>
      </c>
      <c r="I14" s="41">
        <f t="shared" si="0"/>
        <v>565.5233333333333</v>
      </c>
      <c r="J14" s="41">
        <f t="shared" si="0"/>
        <v>0.2116666666666667</v>
      </c>
      <c r="K14" s="41">
        <f t="shared" si="0"/>
        <v>0.10733333333333334</v>
      </c>
      <c r="L14" s="41">
        <f t="shared" si="0"/>
        <v>6.576666666666667</v>
      </c>
      <c r="M14" s="41">
        <f t="shared" si="0"/>
        <v>0.051000000000000004</v>
      </c>
      <c r="N14" s="41">
        <f t="shared" si="0"/>
        <v>1.0233333333333334</v>
      </c>
      <c r="O14" s="41">
        <f t="shared" si="0"/>
        <v>47.75133333333333</v>
      </c>
      <c r="P14" s="41">
        <f t="shared" si="0"/>
        <v>198.34933333333333</v>
      </c>
      <c r="Q14" s="41">
        <f t="shared" si="0"/>
        <v>1.2116666666666667</v>
      </c>
      <c r="R14" s="41">
        <f t="shared" si="0"/>
        <v>2.553333333333333</v>
      </c>
      <c r="S14" s="41">
        <f t="shared" si="0"/>
        <v>54.208000000000006</v>
      </c>
      <c r="T14" s="41">
        <f t="shared" si="0"/>
        <v>2.8013333333333335</v>
      </c>
    </row>
    <row r="15" spans="1:20" s="9" customFormat="1" ht="11.25" customHeight="1">
      <c r="A15" s="157" t="s">
        <v>35</v>
      </c>
      <c r="B15" s="157"/>
      <c r="C15" s="157"/>
      <c r="D15" s="157"/>
      <c r="E15" s="44"/>
      <c r="F15" s="45">
        <f aca="true" t="shared" si="1" ref="F15:T15">F14/F34</f>
        <v>0.14355555555555555</v>
      </c>
      <c r="G15" s="46">
        <f t="shared" si="1"/>
        <v>0.25068840579710144</v>
      </c>
      <c r="H15" s="46">
        <f t="shared" si="1"/>
        <v>0.19989382071366404</v>
      </c>
      <c r="I15" s="46">
        <f t="shared" si="1"/>
        <v>0.20791299019607842</v>
      </c>
      <c r="J15" s="46">
        <f t="shared" si="1"/>
        <v>0.1511904761904762</v>
      </c>
      <c r="K15" s="46">
        <f t="shared" si="1"/>
        <v>0.06708333333333333</v>
      </c>
      <c r="L15" s="46">
        <f t="shared" si="1"/>
        <v>0.09395238095238095</v>
      </c>
      <c r="M15" s="46">
        <f t="shared" si="1"/>
        <v>0.05666666666666667</v>
      </c>
      <c r="N15" s="46">
        <f t="shared" si="1"/>
        <v>0.08527777777777779</v>
      </c>
      <c r="O15" s="46">
        <f t="shared" si="1"/>
        <v>0.039792777777777774</v>
      </c>
      <c r="P15" s="46">
        <f t="shared" si="1"/>
        <v>0.1652911111111111</v>
      </c>
      <c r="Q15" s="46">
        <f t="shared" si="1"/>
        <v>0.08654761904761905</v>
      </c>
      <c r="R15" s="46">
        <f t="shared" si="1"/>
        <v>25.533333333333328</v>
      </c>
      <c r="S15" s="46">
        <f t="shared" si="1"/>
        <v>0.18069333333333334</v>
      </c>
      <c r="T15" s="46">
        <f t="shared" si="1"/>
        <v>0.15562962962962965</v>
      </c>
    </row>
    <row r="16" spans="1:20" s="9" customFormat="1" ht="11.25" customHeight="1">
      <c r="A16" s="47"/>
      <c r="B16" s="48"/>
      <c r="C16" s="48"/>
      <c r="D16" s="49"/>
      <c r="E16" s="44"/>
      <c r="F16" s="50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9" customFormat="1" ht="11.25" customHeight="1">
      <c r="A17" s="151" t="s">
        <v>36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s="6" customFormat="1" ht="18.75" customHeight="1">
      <c r="A18" s="51" t="s">
        <v>37</v>
      </c>
      <c r="B18" s="148" t="s">
        <v>38</v>
      </c>
      <c r="C18" s="148"/>
      <c r="D18" s="52">
        <v>60</v>
      </c>
      <c r="E18" s="53">
        <v>5.34</v>
      </c>
      <c r="F18" s="53">
        <v>0.9</v>
      </c>
      <c r="G18" s="53">
        <v>1.31</v>
      </c>
      <c r="H18" s="53">
        <v>5.6</v>
      </c>
      <c r="I18" s="53">
        <v>37.79</v>
      </c>
      <c r="J18" s="54">
        <v>0.06</v>
      </c>
      <c r="K18" s="53">
        <v>0.07</v>
      </c>
      <c r="L18" s="55">
        <v>15.5</v>
      </c>
      <c r="M18" s="54">
        <v>0.071</v>
      </c>
      <c r="N18" s="52">
        <v>0.3</v>
      </c>
      <c r="O18" s="53">
        <v>28.2</v>
      </c>
      <c r="P18" s="53">
        <v>18.9</v>
      </c>
      <c r="Q18" s="54">
        <v>0.2</v>
      </c>
      <c r="R18" s="54">
        <v>0.001</v>
      </c>
      <c r="S18" s="53">
        <v>10.5</v>
      </c>
      <c r="T18" s="53">
        <v>0.6</v>
      </c>
    </row>
    <row r="19" spans="1:20" s="6" customFormat="1" ht="22.5" customHeight="1">
      <c r="A19" s="17">
        <v>102</v>
      </c>
      <c r="B19" s="152" t="s">
        <v>39</v>
      </c>
      <c r="C19" s="152"/>
      <c r="D19" s="56" t="s">
        <v>119</v>
      </c>
      <c r="E19" s="23">
        <v>11.4</v>
      </c>
      <c r="F19" s="29">
        <v>6.22</v>
      </c>
      <c r="G19" s="29">
        <v>3.99</v>
      </c>
      <c r="H19" s="29">
        <v>21.73</v>
      </c>
      <c r="I19" s="29">
        <v>147.71</v>
      </c>
      <c r="J19" s="29">
        <v>0.27</v>
      </c>
      <c r="K19" s="29">
        <v>0.09</v>
      </c>
      <c r="L19" s="29">
        <v>9</v>
      </c>
      <c r="M19" s="57">
        <v>0.001</v>
      </c>
      <c r="N19" s="29">
        <v>0.257</v>
      </c>
      <c r="O19" s="29">
        <v>54.13</v>
      </c>
      <c r="P19" s="29">
        <v>183.2</v>
      </c>
      <c r="Q19" s="29">
        <v>1.157</v>
      </c>
      <c r="R19" s="57">
        <v>0.013</v>
      </c>
      <c r="S19" s="29">
        <v>49.63</v>
      </c>
      <c r="T19" s="29">
        <v>1.03</v>
      </c>
    </row>
    <row r="20" spans="1:20" s="6" customFormat="1" ht="22.5" customHeight="1">
      <c r="A20" s="17">
        <v>268</v>
      </c>
      <c r="B20" s="152" t="s">
        <v>40</v>
      </c>
      <c r="C20" s="152"/>
      <c r="D20" s="24">
        <v>80</v>
      </c>
      <c r="E20" s="23">
        <v>32.88</v>
      </c>
      <c r="F20" s="29">
        <v>13.460000000000003</v>
      </c>
      <c r="G20" s="31">
        <v>10.86</v>
      </c>
      <c r="H20" s="31">
        <v>5.34</v>
      </c>
      <c r="I20" s="29">
        <v>172.948</v>
      </c>
      <c r="J20" s="29">
        <v>0.07</v>
      </c>
      <c r="K20" s="29">
        <v>0.23000000000000004</v>
      </c>
      <c r="L20" s="29">
        <v>0.75</v>
      </c>
      <c r="M20" s="30">
        <v>0.2</v>
      </c>
      <c r="N20" s="57">
        <v>0.021</v>
      </c>
      <c r="O20" s="29">
        <v>73.74</v>
      </c>
      <c r="P20" s="31">
        <v>184.82</v>
      </c>
      <c r="Q20" s="29">
        <v>2.28</v>
      </c>
      <c r="R20" s="57">
        <v>0.03</v>
      </c>
      <c r="S20" s="29">
        <v>29.860000000000003</v>
      </c>
      <c r="T20" s="29">
        <v>1.9300000000000002</v>
      </c>
    </row>
    <row r="21" spans="1:20" s="6" customFormat="1" ht="24" customHeight="1">
      <c r="A21" s="17">
        <v>202</v>
      </c>
      <c r="B21" s="152" t="s">
        <v>41</v>
      </c>
      <c r="C21" s="152"/>
      <c r="D21" s="24">
        <v>180</v>
      </c>
      <c r="E21" s="23">
        <v>7.93</v>
      </c>
      <c r="F21" s="29">
        <v>6.84</v>
      </c>
      <c r="G21" s="29">
        <v>4.116</v>
      </c>
      <c r="H21" s="29">
        <v>43.74</v>
      </c>
      <c r="I21" s="29">
        <v>239.364</v>
      </c>
      <c r="J21" s="29">
        <v>0.108</v>
      </c>
      <c r="K21" s="29">
        <v>0.036</v>
      </c>
      <c r="L21" s="29">
        <v>0</v>
      </c>
      <c r="M21" s="57">
        <v>0.036</v>
      </c>
      <c r="N21" s="29">
        <v>1.5</v>
      </c>
      <c r="O21" s="29">
        <v>15.936</v>
      </c>
      <c r="P21" s="29">
        <v>55.452</v>
      </c>
      <c r="Q21" s="29">
        <v>0.936</v>
      </c>
      <c r="R21" s="57">
        <v>0.002</v>
      </c>
      <c r="S21" s="29">
        <v>10.164</v>
      </c>
      <c r="T21" s="29">
        <v>1.032</v>
      </c>
    </row>
    <row r="22" spans="1:20" s="6" customFormat="1" ht="30" customHeight="1">
      <c r="A22" s="32">
        <v>349</v>
      </c>
      <c r="B22" s="152" t="s">
        <v>42</v>
      </c>
      <c r="C22" s="152"/>
      <c r="D22" s="24">
        <v>200</v>
      </c>
      <c r="E22" s="23">
        <v>6.16</v>
      </c>
      <c r="F22" s="29">
        <v>0.2</v>
      </c>
      <c r="G22" s="30">
        <v>0</v>
      </c>
      <c r="H22" s="29">
        <v>24.42</v>
      </c>
      <c r="I22" s="29">
        <v>98.56</v>
      </c>
      <c r="J22" s="30">
        <v>0</v>
      </c>
      <c r="K22" s="30">
        <v>0</v>
      </c>
      <c r="L22" s="29">
        <v>26.11</v>
      </c>
      <c r="M22" s="30">
        <v>0</v>
      </c>
      <c r="N22" s="30">
        <v>0</v>
      </c>
      <c r="O22" s="31">
        <v>22.6</v>
      </c>
      <c r="P22" s="31">
        <v>7.7</v>
      </c>
      <c r="Q22" s="58">
        <v>0</v>
      </c>
      <c r="R22" s="58">
        <v>0</v>
      </c>
      <c r="S22" s="31">
        <v>3</v>
      </c>
      <c r="T22" s="29">
        <v>0.66</v>
      </c>
    </row>
    <row r="23" spans="1:20" s="6" customFormat="1" ht="11.25" customHeight="1">
      <c r="A23" s="59" t="s">
        <v>30</v>
      </c>
      <c r="B23" s="152" t="s">
        <v>43</v>
      </c>
      <c r="C23" s="152"/>
      <c r="D23" s="24">
        <v>40</v>
      </c>
      <c r="E23" s="23">
        <v>1.88</v>
      </c>
      <c r="F23" s="23">
        <f>2.64*D23/40</f>
        <v>2.64</v>
      </c>
      <c r="G23" s="23">
        <f>0.48*D23/40</f>
        <v>0.48</v>
      </c>
      <c r="H23" s="23">
        <f>13.68*D23/40</f>
        <v>13.680000000000001</v>
      </c>
      <c r="I23" s="23">
        <f>F23*4+G23*9+H23*4</f>
        <v>69.60000000000001</v>
      </c>
      <c r="J23" s="26">
        <f>0.08*D23/40</f>
        <v>0.08</v>
      </c>
      <c r="K23" s="23">
        <f>0.04*D23/40</f>
        <v>0.04</v>
      </c>
      <c r="L23" s="24">
        <v>0</v>
      </c>
      <c r="M23" s="24">
        <v>0</v>
      </c>
      <c r="N23" s="23">
        <f>2.4*D23/40</f>
        <v>2.4</v>
      </c>
      <c r="O23" s="23">
        <f>14*D23/40</f>
        <v>14</v>
      </c>
      <c r="P23" s="23">
        <f>63.2*D23/40</f>
        <v>63.2</v>
      </c>
      <c r="Q23" s="23">
        <f>1.2*D23/40</f>
        <v>1.2</v>
      </c>
      <c r="R23" s="25">
        <f>0.001*D23/40</f>
        <v>0.001</v>
      </c>
      <c r="S23" s="23">
        <f>9.4*D23/40</f>
        <v>9.4</v>
      </c>
      <c r="T23" s="26">
        <f>0.78*D23/40</f>
        <v>0.78</v>
      </c>
    </row>
    <row r="24" spans="1:20" s="6" customFormat="1" ht="11.25" customHeight="1">
      <c r="A24" s="77" t="s">
        <v>30</v>
      </c>
      <c r="B24" s="152" t="s">
        <v>33</v>
      </c>
      <c r="C24" s="152"/>
      <c r="D24" s="24">
        <v>20</v>
      </c>
      <c r="E24" s="23">
        <v>14.41</v>
      </c>
      <c r="F24" s="33">
        <v>0.65</v>
      </c>
      <c r="G24" s="34">
        <v>3.8</v>
      </c>
      <c r="H24" s="35">
        <v>17.6</v>
      </c>
      <c r="I24" s="33">
        <v>38</v>
      </c>
      <c r="J24" s="33">
        <v>0.026</v>
      </c>
      <c r="K24" s="33">
        <v>0.03</v>
      </c>
      <c r="L24" s="33">
        <v>0.13</v>
      </c>
      <c r="M24" s="33">
        <v>11.96</v>
      </c>
      <c r="N24" s="34">
        <v>0.39</v>
      </c>
      <c r="O24" s="33">
        <v>24.18</v>
      </c>
      <c r="P24" s="33">
        <v>49.4</v>
      </c>
      <c r="Q24" s="36">
        <v>0.2</v>
      </c>
      <c r="R24" s="33">
        <v>0.002</v>
      </c>
      <c r="S24" s="33">
        <v>18.72</v>
      </c>
      <c r="T24" s="33">
        <v>0.182</v>
      </c>
    </row>
    <row r="25" spans="1:20" s="9" customFormat="1" ht="11.25" customHeight="1">
      <c r="A25" s="38" t="s">
        <v>45</v>
      </c>
      <c r="B25" s="38"/>
      <c r="C25" s="38"/>
      <c r="D25" s="38">
        <f>SUM(D18:D24)</f>
        <v>580</v>
      </c>
      <c r="E25" s="40">
        <f>SUM(E18:E24)</f>
        <v>80</v>
      </c>
      <c r="F25" s="41">
        <f>SUM(F18:F24)</f>
        <v>30.91</v>
      </c>
      <c r="G25" s="41">
        <f aca="true" t="shared" si="2" ref="G25:T25">SUM(G18:G24)</f>
        <v>24.556</v>
      </c>
      <c r="H25" s="41">
        <f t="shared" si="2"/>
        <v>132.11</v>
      </c>
      <c r="I25" s="41">
        <f t="shared" si="2"/>
        <v>803.9720000000001</v>
      </c>
      <c r="J25" s="41">
        <f t="shared" si="2"/>
        <v>0.614</v>
      </c>
      <c r="K25" s="41">
        <f t="shared" si="2"/>
        <v>0.496</v>
      </c>
      <c r="L25" s="41">
        <f t="shared" si="2"/>
        <v>51.49</v>
      </c>
      <c r="M25" s="41">
        <f t="shared" si="2"/>
        <v>12.268</v>
      </c>
      <c r="N25" s="41">
        <f t="shared" si="2"/>
        <v>4.867999999999999</v>
      </c>
      <c r="O25" s="41">
        <f t="shared" si="2"/>
        <v>232.786</v>
      </c>
      <c r="P25" s="41">
        <f t="shared" si="2"/>
        <v>562.6719999999999</v>
      </c>
      <c r="Q25" s="41">
        <f t="shared" si="2"/>
        <v>5.973</v>
      </c>
      <c r="R25" s="41">
        <f t="shared" si="2"/>
        <v>0.049</v>
      </c>
      <c r="S25" s="41">
        <f t="shared" si="2"/>
        <v>131.274</v>
      </c>
      <c r="T25" s="41">
        <f t="shared" si="2"/>
        <v>6.214000000000001</v>
      </c>
    </row>
    <row r="26" spans="1:20" s="9" customFormat="1" ht="11.25" customHeight="1">
      <c r="A26" s="157" t="s">
        <v>35</v>
      </c>
      <c r="B26" s="157"/>
      <c r="C26" s="157"/>
      <c r="D26" s="157"/>
      <c r="E26" s="44"/>
      <c r="F26" s="45">
        <f aca="true" t="shared" si="3" ref="F26:T26">F25/F34</f>
        <v>0.34344444444444444</v>
      </c>
      <c r="G26" s="46">
        <f t="shared" si="3"/>
        <v>0.2669130434782609</v>
      </c>
      <c r="H26" s="46">
        <f t="shared" si="3"/>
        <v>0.344934725848564</v>
      </c>
      <c r="I26" s="46">
        <f t="shared" si="3"/>
        <v>0.2955779411764706</v>
      </c>
      <c r="J26" s="46">
        <f t="shared" si="3"/>
        <v>0.4385714285714286</v>
      </c>
      <c r="K26" s="46">
        <f t="shared" si="3"/>
        <v>0.31</v>
      </c>
      <c r="L26" s="46">
        <f t="shared" si="3"/>
        <v>0.7355714285714287</v>
      </c>
      <c r="M26" s="46">
        <f t="shared" si="3"/>
        <v>13.631111111111112</v>
      </c>
      <c r="N26" s="46">
        <f t="shared" si="3"/>
        <v>0.4056666666666666</v>
      </c>
      <c r="O26" s="46">
        <f t="shared" si="3"/>
        <v>0.19398833333333335</v>
      </c>
      <c r="P26" s="46">
        <f t="shared" si="3"/>
        <v>0.4688933333333333</v>
      </c>
      <c r="Q26" s="46">
        <f t="shared" si="3"/>
        <v>0.42664285714285716</v>
      </c>
      <c r="R26" s="46">
        <f t="shared" si="3"/>
        <v>0.49</v>
      </c>
      <c r="S26" s="46">
        <f t="shared" si="3"/>
        <v>0.43758</v>
      </c>
      <c r="T26" s="46">
        <f t="shared" si="3"/>
        <v>0.3452222222222223</v>
      </c>
    </row>
    <row r="27" spans="1:20" s="9" customFormat="1" ht="11.25" customHeight="1">
      <c r="A27" s="60"/>
      <c r="B27" s="48"/>
      <c r="C27" s="48"/>
      <c r="D27" s="49"/>
      <c r="E27" s="44"/>
      <c r="F27" s="50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s="9" customFormat="1" ht="11.25" customHeight="1">
      <c r="A28" s="151" t="s">
        <v>46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20" s="9" customFormat="1" ht="16.5" customHeight="1">
      <c r="A29" s="17"/>
      <c r="B29" s="152" t="s">
        <v>47</v>
      </c>
      <c r="C29" s="152"/>
      <c r="D29" s="24">
        <v>80</v>
      </c>
      <c r="E29" s="23">
        <v>26.4</v>
      </c>
      <c r="F29" s="23">
        <f>0.39*D29/60</f>
        <v>0.52</v>
      </c>
      <c r="G29" s="23">
        <f>0.18*D29/60</f>
        <v>0.23999999999999996</v>
      </c>
      <c r="H29" s="23">
        <f>5.37*D29/60</f>
        <v>7.16</v>
      </c>
      <c r="I29" s="23">
        <f>F29*4+G29*9+H29*4</f>
        <v>32.88</v>
      </c>
      <c r="J29" s="25">
        <f>0.02*D29/60</f>
        <v>0.02666666666666667</v>
      </c>
      <c r="K29" s="23">
        <f>0.02*D29/60</f>
        <v>0.02666666666666667</v>
      </c>
      <c r="L29" s="23">
        <f>22.95*D29/60</f>
        <v>30.6</v>
      </c>
      <c r="M29" s="25">
        <f>0.02*D29/60</f>
        <v>0.02666666666666667</v>
      </c>
      <c r="N29" s="26">
        <f>0.6*D29/60</f>
        <v>0.8</v>
      </c>
      <c r="O29" s="61">
        <f>15*D29/60</f>
        <v>20</v>
      </c>
      <c r="P29" s="23">
        <f>10.2*D29/60</f>
        <v>13.6</v>
      </c>
      <c r="Q29" s="23">
        <f>0.13*D29/60</f>
        <v>0.17333333333333334</v>
      </c>
      <c r="R29" s="25">
        <f>0.001*D29/60</f>
        <v>0.0013333333333333333</v>
      </c>
      <c r="S29" s="23">
        <f>6.6*D29/60</f>
        <v>8.8</v>
      </c>
      <c r="T29" s="23">
        <f>0.75*D29/60</f>
        <v>1</v>
      </c>
    </row>
    <row r="30" spans="1:20" s="6" customFormat="1" ht="12.75" customHeight="1">
      <c r="A30" s="34">
        <v>377</v>
      </c>
      <c r="B30" s="148" t="s">
        <v>48</v>
      </c>
      <c r="C30" s="148"/>
      <c r="D30" s="58">
        <v>200</v>
      </c>
      <c r="E30" s="29">
        <v>3.6</v>
      </c>
      <c r="F30" s="128">
        <v>0.26</v>
      </c>
      <c r="G30" s="128">
        <v>0.06</v>
      </c>
      <c r="H30" s="128">
        <v>15.22</v>
      </c>
      <c r="I30" s="128">
        <v>62.46</v>
      </c>
      <c r="J30" s="128">
        <v>0</v>
      </c>
      <c r="K30" s="128">
        <v>0.01</v>
      </c>
      <c r="L30" s="128">
        <v>2.9</v>
      </c>
      <c r="M30" s="129">
        <v>0</v>
      </c>
      <c r="N30" s="128">
        <v>0.06</v>
      </c>
      <c r="O30" s="128">
        <v>8.05</v>
      </c>
      <c r="P30" s="128">
        <v>9.78</v>
      </c>
      <c r="Q30" s="128">
        <v>0.017</v>
      </c>
      <c r="R30" s="133">
        <v>0</v>
      </c>
      <c r="S30" s="128">
        <v>5.24</v>
      </c>
      <c r="T30" s="128">
        <v>0.87</v>
      </c>
    </row>
    <row r="31" spans="1:20" s="9" customFormat="1" ht="11.25" customHeight="1">
      <c r="A31" s="62" t="s">
        <v>49</v>
      </c>
      <c r="B31" s="63"/>
      <c r="C31" s="63"/>
      <c r="D31" s="39">
        <f>SUM(D29:D30)</f>
        <v>280</v>
      </c>
      <c r="E31" s="40">
        <f>SUM(E29:E30)</f>
        <v>30</v>
      </c>
      <c r="F31" s="40">
        <f>SUM(F29:F30)</f>
        <v>0.78</v>
      </c>
      <c r="G31" s="40">
        <f aca="true" t="shared" si="4" ref="G31:T31">SUM(G29:G30)</f>
        <v>0.29999999999999993</v>
      </c>
      <c r="H31" s="40">
        <f t="shared" si="4"/>
        <v>22.380000000000003</v>
      </c>
      <c r="I31" s="40">
        <f t="shared" si="4"/>
        <v>95.34</v>
      </c>
      <c r="J31" s="40">
        <f t="shared" si="4"/>
        <v>0.02666666666666667</v>
      </c>
      <c r="K31" s="40">
        <f t="shared" si="4"/>
        <v>0.03666666666666667</v>
      </c>
      <c r="L31" s="40">
        <f t="shared" si="4"/>
        <v>33.5</v>
      </c>
      <c r="M31" s="40">
        <f t="shared" si="4"/>
        <v>0.02666666666666667</v>
      </c>
      <c r="N31" s="40">
        <f t="shared" si="4"/>
        <v>0.8600000000000001</v>
      </c>
      <c r="O31" s="40">
        <f t="shared" si="4"/>
        <v>28.05</v>
      </c>
      <c r="P31" s="40">
        <f t="shared" si="4"/>
        <v>23.38</v>
      </c>
      <c r="Q31" s="40">
        <f t="shared" si="4"/>
        <v>0.19033333333333335</v>
      </c>
      <c r="R31" s="40">
        <f t="shared" si="4"/>
        <v>0.0013333333333333333</v>
      </c>
      <c r="S31" s="40">
        <f t="shared" si="4"/>
        <v>14.040000000000001</v>
      </c>
      <c r="T31" s="40">
        <f t="shared" si="4"/>
        <v>1.87</v>
      </c>
    </row>
    <row r="32" spans="1:20" s="9" customFormat="1" ht="11.25" customHeight="1">
      <c r="A32" s="157" t="s">
        <v>35</v>
      </c>
      <c r="B32" s="157"/>
      <c r="C32" s="157"/>
      <c r="D32" s="157"/>
      <c r="E32" s="64"/>
      <c r="F32" s="65">
        <f aca="true" t="shared" si="5" ref="F32:T32">F31/F34</f>
        <v>0.008666666666666666</v>
      </c>
      <c r="G32" s="46">
        <f t="shared" si="5"/>
        <v>0.0032608695652173907</v>
      </c>
      <c r="H32" s="46">
        <f t="shared" si="5"/>
        <v>0.058433420365535255</v>
      </c>
      <c r="I32" s="46">
        <f t="shared" si="5"/>
        <v>0.035051470588235295</v>
      </c>
      <c r="J32" s="46">
        <f t="shared" si="5"/>
        <v>0.01904761904761905</v>
      </c>
      <c r="K32" s="46">
        <f t="shared" si="5"/>
        <v>0.022916666666666665</v>
      </c>
      <c r="L32" s="46">
        <f t="shared" si="5"/>
        <v>0.4785714285714286</v>
      </c>
      <c r="M32" s="46">
        <f t="shared" si="5"/>
        <v>0.02962962962962963</v>
      </c>
      <c r="N32" s="46">
        <f t="shared" si="5"/>
        <v>0.07166666666666667</v>
      </c>
      <c r="O32" s="46">
        <f t="shared" si="5"/>
        <v>0.023375</v>
      </c>
      <c r="P32" s="46">
        <f t="shared" si="5"/>
        <v>0.01948333333333333</v>
      </c>
      <c r="Q32" s="46">
        <f t="shared" si="5"/>
        <v>0.013595238095238096</v>
      </c>
      <c r="R32" s="46">
        <f t="shared" si="5"/>
        <v>0.013333333333333332</v>
      </c>
      <c r="S32" s="46">
        <f t="shared" si="5"/>
        <v>0.0468</v>
      </c>
      <c r="T32" s="46">
        <f t="shared" si="5"/>
        <v>0.10388888888888889</v>
      </c>
    </row>
    <row r="33" spans="1:20" s="9" customFormat="1" ht="11.25" customHeight="1">
      <c r="A33" s="157" t="s">
        <v>50</v>
      </c>
      <c r="B33" s="157"/>
      <c r="C33" s="157"/>
      <c r="D33" s="157"/>
      <c r="E33" s="44"/>
      <c r="F33" s="41">
        <f aca="true" t="shared" si="6" ref="F33:T33">SUM(F14,F25,F31)</f>
        <v>44.61</v>
      </c>
      <c r="G33" s="42">
        <f t="shared" si="6"/>
        <v>47.91933333333333</v>
      </c>
      <c r="H33" s="42">
        <f t="shared" si="6"/>
        <v>231.04933333333332</v>
      </c>
      <c r="I33" s="42">
        <f t="shared" si="6"/>
        <v>1464.8353333333332</v>
      </c>
      <c r="J33" s="41">
        <f t="shared" si="6"/>
        <v>0.8523333333333333</v>
      </c>
      <c r="K33" s="41">
        <f t="shared" si="6"/>
        <v>0.6399999999999999</v>
      </c>
      <c r="L33" s="41">
        <f t="shared" si="6"/>
        <v>91.56666666666666</v>
      </c>
      <c r="M33" s="41">
        <f t="shared" si="6"/>
        <v>12.345666666666668</v>
      </c>
      <c r="N33" s="41">
        <f t="shared" si="6"/>
        <v>6.751333333333333</v>
      </c>
      <c r="O33" s="41">
        <f t="shared" si="6"/>
        <v>308.58733333333333</v>
      </c>
      <c r="P33" s="42">
        <f t="shared" si="6"/>
        <v>784.4013333333332</v>
      </c>
      <c r="Q33" s="43">
        <f t="shared" si="6"/>
        <v>7.375</v>
      </c>
      <c r="R33" s="43">
        <f t="shared" si="6"/>
        <v>2.603666666666666</v>
      </c>
      <c r="S33" s="41">
        <f t="shared" si="6"/>
        <v>199.522</v>
      </c>
      <c r="T33" s="41">
        <f t="shared" si="6"/>
        <v>10.885333333333335</v>
      </c>
    </row>
    <row r="34" spans="1:20" s="9" customFormat="1" ht="11.25" customHeight="1">
      <c r="A34" s="157" t="s">
        <v>51</v>
      </c>
      <c r="B34" s="157"/>
      <c r="C34" s="157"/>
      <c r="D34" s="157"/>
      <c r="E34" s="44"/>
      <c r="F34" s="23">
        <v>90</v>
      </c>
      <c r="G34" s="61">
        <v>92</v>
      </c>
      <c r="H34" s="61">
        <v>383</v>
      </c>
      <c r="I34" s="61">
        <v>2720</v>
      </c>
      <c r="J34" s="23">
        <v>1.4</v>
      </c>
      <c r="K34" s="23">
        <v>1.6</v>
      </c>
      <c r="L34" s="24">
        <v>70</v>
      </c>
      <c r="M34" s="23">
        <v>0.9</v>
      </c>
      <c r="N34" s="24">
        <v>12</v>
      </c>
      <c r="O34" s="24">
        <v>1200</v>
      </c>
      <c r="P34" s="24">
        <v>1200</v>
      </c>
      <c r="Q34" s="24">
        <v>14</v>
      </c>
      <c r="R34" s="61">
        <v>0.1</v>
      </c>
      <c r="S34" s="24">
        <v>300</v>
      </c>
      <c r="T34" s="23">
        <v>18</v>
      </c>
    </row>
    <row r="35" spans="1:20" s="9" customFormat="1" ht="11.25" customHeight="1">
      <c r="A35" s="157" t="s">
        <v>35</v>
      </c>
      <c r="B35" s="157"/>
      <c r="C35" s="157"/>
      <c r="D35" s="157"/>
      <c r="E35" s="44"/>
      <c r="F35" s="66">
        <f aca="true" t="shared" si="7" ref="F35:T35">F33/F34</f>
        <v>0.49566666666666664</v>
      </c>
      <c r="G35" s="46">
        <f t="shared" si="7"/>
        <v>0.5208623188405797</v>
      </c>
      <c r="H35" s="67">
        <f t="shared" si="7"/>
        <v>0.6032619669277632</v>
      </c>
      <c r="I35" s="67">
        <f t="shared" si="7"/>
        <v>0.5385424019607843</v>
      </c>
      <c r="J35" s="67">
        <f t="shared" si="7"/>
        <v>0.6088095238095238</v>
      </c>
      <c r="K35" s="67">
        <f t="shared" si="7"/>
        <v>0.3999999999999999</v>
      </c>
      <c r="L35" s="67">
        <f t="shared" si="7"/>
        <v>1.308095238095238</v>
      </c>
      <c r="M35" s="68">
        <f t="shared" si="7"/>
        <v>13.717407407407409</v>
      </c>
      <c r="N35" s="67">
        <f t="shared" si="7"/>
        <v>0.5626111111111111</v>
      </c>
      <c r="O35" s="67">
        <f t="shared" si="7"/>
        <v>0.2571561111111111</v>
      </c>
      <c r="P35" s="67">
        <f t="shared" si="7"/>
        <v>0.6536677777777777</v>
      </c>
      <c r="Q35" s="67">
        <f t="shared" si="7"/>
        <v>0.5267857142857143</v>
      </c>
      <c r="R35" s="67">
        <f t="shared" si="7"/>
        <v>26.036666666666658</v>
      </c>
      <c r="S35" s="67">
        <f t="shared" si="7"/>
        <v>0.6650733333333333</v>
      </c>
      <c r="T35" s="68">
        <f t="shared" si="7"/>
        <v>0.6047407407407408</v>
      </c>
    </row>
    <row r="36" spans="1:20" s="9" customFormat="1" ht="11.25" customHeight="1">
      <c r="A36" s="5"/>
      <c r="B36" s="5"/>
      <c r="C36" s="69"/>
      <c r="D36" s="69"/>
      <c r="E36" s="70"/>
      <c r="F36" s="11"/>
      <c r="G36" s="6"/>
      <c r="H36" s="8"/>
      <c r="I36" s="8"/>
      <c r="J36" s="6"/>
      <c r="K36" s="6"/>
      <c r="L36" s="6"/>
      <c r="M36" s="143" t="s">
        <v>0</v>
      </c>
      <c r="N36" s="143"/>
      <c r="O36" s="143"/>
      <c r="P36" s="143"/>
      <c r="Q36" s="143"/>
      <c r="R36" s="143"/>
      <c r="S36" s="143"/>
      <c r="T36" s="143"/>
    </row>
    <row r="37" spans="1:20" s="9" customFormat="1" ht="11.25" customHeight="1">
      <c r="A37" s="158" t="s">
        <v>52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</row>
    <row r="38" spans="1:20" s="9" customFormat="1" ht="11.25" customHeight="1">
      <c r="A38" s="10" t="s">
        <v>2</v>
      </c>
      <c r="B38" s="5"/>
      <c r="C38" s="5"/>
      <c r="D38" s="8"/>
      <c r="E38" s="11"/>
      <c r="F38" s="7"/>
      <c r="G38" s="145" t="s">
        <v>53</v>
      </c>
      <c r="H38" s="145"/>
      <c r="I38" s="145"/>
      <c r="J38" s="6"/>
      <c r="K38" s="6"/>
      <c r="L38" s="146"/>
      <c r="M38" s="146"/>
      <c r="N38" s="147"/>
      <c r="O38" s="147"/>
      <c r="P38" s="147"/>
      <c r="Q38" s="147"/>
      <c r="R38" s="6"/>
      <c r="S38" s="6"/>
      <c r="T38" s="6"/>
    </row>
    <row r="39" spans="1:20" s="9" customFormat="1" ht="11.25" customHeight="1">
      <c r="A39" s="5"/>
      <c r="B39" s="5"/>
      <c r="C39" s="5"/>
      <c r="D39" s="146" t="s">
        <v>4</v>
      </c>
      <c r="E39" s="146"/>
      <c r="F39" s="146"/>
      <c r="G39" s="12">
        <v>1</v>
      </c>
      <c r="H39" s="6"/>
      <c r="I39" s="8"/>
      <c r="J39" s="8"/>
      <c r="K39" s="8"/>
      <c r="L39" s="146"/>
      <c r="M39" s="146"/>
      <c r="N39" s="145"/>
      <c r="O39" s="145"/>
      <c r="P39" s="145"/>
      <c r="Q39" s="145"/>
      <c r="R39" s="145"/>
      <c r="S39" s="145"/>
      <c r="T39" s="145"/>
    </row>
    <row r="40" spans="1:20" s="9" customFormat="1" ht="21.75" customHeight="1">
      <c r="A40" s="149" t="s">
        <v>54</v>
      </c>
      <c r="B40" s="149" t="s">
        <v>55</v>
      </c>
      <c r="C40" s="149"/>
      <c r="D40" s="149" t="s">
        <v>7</v>
      </c>
      <c r="E40" s="14"/>
      <c r="F40" s="149" t="s">
        <v>8</v>
      </c>
      <c r="G40" s="149"/>
      <c r="H40" s="149"/>
      <c r="I40" s="149" t="s">
        <v>9</v>
      </c>
      <c r="J40" s="149" t="s">
        <v>10</v>
      </c>
      <c r="K40" s="149"/>
      <c r="L40" s="149"/>
      <c r="M40" s="149"/>
      <c r="N40" s="149"/>
      <c r="O40" s="149" t="s">
        <v>11</v>
      </c>
      <c r="P40" s="149"/>
      <c r="Q40" s="149"/>
      <c r="R40" s="149"/>
      <c r="S40" s="149"/>
      <c r="T40" s="149"/>
    </row>
    <row r="41" spans="1:20" s="9" customFormat="1" ht="21" customHeight="1">
      <c r="A41" s="149"/>
      <c r="B41" s="149"/>
      <c r="C41" s="149"/>
      <c r="D41" s="149"/>
      <c r="E41" s="15"/>
      <c r="F41" s="16" t="s">
        <v>12</v>
      </c>
      <c r="G41" s="13" t="s">
        <v>13</v>
      </c>
      <c r="H41" s="13" t="s">
        <v>14</v>
      </c>
      <c r="I41" s="149"/>
      <c r="J41" s="13" t="s">
        <v>15</v>
      </c>
      <c r="K41" s="13" t="s">
        <v>16</v>
      </c>
      <c r="L41" s="13" t="s">
        <v>17</v>
      </c>
      <c r="M41" s="13" t="s">
        <v>18</v>
      </c>
      <c r="N41" s="13" t="s">
        <v>19</v>
      </c>
      <c r="O41" s="13" t="s">
        <v>20</v>
      </c>
      <c r="P41" s="13" t="s">
        <v>21</v>
      </c>
      <c r="Q41" s="13" t="s">
        <v>22</v>
      </c>
      <c r="R41" s="13" t="s">
        <v>23</v>
      </c>
      <c r="S41" s="13" t="s">
        <v>24</v>
      </c>
      <c r="T41" s="13" t="s">
        <v>25</v>
      </c>
    </row>
    <row r="42" spans="1:20" s="9" customFormat="1" ht="11.25" customHeight="1">
      <c r="A42" s="17">
        <v>1</v>
      </c>
      <c r="B42" s="150">
        <v>2</v>
      </c>
      <c r="C42" s="150"/>
      <c r="D42" s="18">
        <v>3</v>
      </c>
      <c r="E42" s="19"/>
      <c r="F42" s="19">
        <v>4</v>
      </c>
      <c r="G42" s="18">
        <v>5</v>
      </c>
      <c r="H42" s="18">
        <v>6</v>
      </c>
      <c r="I42" s="18">
        <v>7</v>
      </c>
      <c r="J42" s="18">
        <v>8</v>
      </c>
      <c r="K42" s="18">
        <v>9</v>
      </c>
      <c r="L42" s="18">
        <v>10</v>
      </c>
      <c r="M42" s="18">
        <v>11</v>
      </c>
      <c r="N42" s="18">
        <v>12</v>
      </c>
      <c r="O42" s="18">
        <v>13</v>
      </c>
      <c r="P42" s="18">
        <v>14</v>
      </c>
      <c r="Q42" s="18">
        <v>15</v>
      </c>
      <c r="R42" s="18">
        <v>16</v>
      </c>
      <c r="S42" s="18">
        <v>17</v>
      </c>
      <c r="T42" s="18">
        <v>18</v>
      </c>
    </row>
    <row r="43" spans="1:20" s="9" customFormat="1" ht="11.25" customHeight="1">
      <c r="A43" s="151" t="s">
        <v>56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</row>
    <row r="44" spans="1:20" s="6" customFormat="1" ht="20.25" customHeight="1">
      <c r="A44" s="32" t="s">
        <v>30</v>
      </c>
      <c r="B44" s="152" t="s">
        <v>72</v>
      </c>
      <c r="C44" s="152"/>
      <c r="D44" s="24">
        <v>17</v>
      </c>
      <c r="E44" s="23">
        <v>5.9</v>
      </c>
      <c r="F44" s="26">
        <v>1.4</v>
      </c>
      <c r="G44" s="26">
        <v>1.7</v>
      </c>
      <c r="H44" s="26">
        <v>11.1</v>
      </c>
      <c r="I44" s="26">
        <v>65.6</v>
      </c>
      <c r="J44" s="26">
        <v>0.05</v>
      </c>
      <c r="K44" s="26">
        <v>0.04</v>
      </c>
      <c r="L44" s="26">
        <v>0.1</v>
      </c>
      <c r="M44" s="26">
        <v>0.005</v>
      </c>
      <c r="N44" s="26">
        <v>0.02</v>
      </c>
      <c r="O44" s="26">
        <v>30.7</v>
      </c>
      <c r="P44" s="26">
        <v>21.9</v>
      </c>
      <c r="Q44" s="26">
        <v>0.1</v>
      </c>
      <c r="R44" s="26">
        <v>0.001</v>
      </c>
      <c r="S44" s="26">
        <v>3.4</v>
      </c>
      <c r="T44" s="26">
        <v>0.02</v>
      </c>
    </row>
    <row r="45" spans="1:20" s="6" customFormat="1" ht="21.75" customHeight="1">
      <c r="A45" s="17">
        <v>222</v>
      </c>
      <c r="B45" s="159" t="s">
        <v>73</v>
      </c>
      <c r="C45" s="160"/>
      <c r="D45" s="24">
        <v>160</v>
      </c>
      <c r="E45" s="23">
        <v>44.13</v>
      </c>
      <c r="F45" s="29">
        <v>14.92</v>
      </c>
      <c r="G45" s="29">
        <v>14.38</v>
      </c>
      <c r="H45" s="29">
        <v>31.51</v>
      </c>
      <c r="I45" s="29">
        <v>315.14</v>
      </c>
      <c r="J45" s="31">
        <v>0.26</v>
      </c>
      <c r="K45" s="31">
        <v>0.408</v>
      </c>
      <c r="L45" s="31">
        <v>0.935</v>
      </c>
      <c r="M45" s="29">
        <v>0.213</v>
      </c>
      <c r="N45" s="57">
        <v>1.36</v>
      </c>
      <c r="O45" s="31">
        <v>215.96</v>
      </c>
      <c r="P45" s="31">
        <v>414.6</v>
      </c>
      <c r="Q45" s="31">
        <v>1.2</v>
      </c>
      <c r="R45" s="57">
        <v>0.02</v>
      </c>
      <c r="S45" s="31">
        <v>93.883</v>
      </c>
      <c r="T45" s="29">
        <v>2.533</v>
      </c>
    </row>
    <row r="46" spans="1:20" s="6" customFormat="1" ht="11.25" customHeight="1">
      <c r="A46" s="34">
        <v>377</v>
      </c>
      <c r="B46" s="148" t="s">
        <v>48</v>
      </c>
      <c r="C46" s="148"/>
      <c r="D46" s="58">
        <v>200</v>
      </c>
      <c r="E46" s="29">
        <v>3.6</v>
      </c>
      <c r="F46" s="128">
        <v>0.26</v>
      </c>
      <c r="G46" s="128">
        <v>0.06</v>
      </c>
      <c r="H46" s="128">
        <v>15.22</v>
      </c>
      <c r="I46" s="128">
        <v>62.46</v>
      </c>
      <c r="J46" s="128">
        <v>0</v>
      </c>
      <c r="K46" s="128">
        <v>0.01</v>
      </c>
      <c r="L46" s="128">
        <v>2.9</v>
      </c>
      <c r="M46" s="129">
        <v>0</v>
      </c>
      <c r="N46" s="128">
        <v>0.06</v>
      </c>
      <c r="O46" s="128">
        <v>8.05</v>
      </c>
      <c r="P46" s="128">
        <v>9.78</v>
      </c>
      <c r="Q46" s="128">
        <v>0.017</v>
      </c>
      <c r="R46" s="133">
        <v>0</v>
      </c>
      <c r="S46" s="128">
        <v>5.24</v>
      </c>
      <c r="T46" s="128">
        <v>0.87</v>
      </c>
    </row>
    <row r="47" spans="1:20" s="6" customFormat="1" ht="12" customHeight="1">
      <c r="A47" s="62" t="s">
        <v>60</v>
      </c>
      <c r="B47" s="63"/>
      <c r="C47" s="63"/>
      <c r="D47" s="39">
        <f>SUM(D44:D46)</f>
        <v>377</v>
      </c>
      <c r="E47" s="40">
        <f>SUM(E44:E46)</f>
        <v>53.63</v>
      </c>
      <c r="F47" s="41">
        <f>SUM(F44:F46)</f>
        <v>16.580000000000002</v>
      </c>
      <c r="G47" s="41">
        <f aca="true" t="shared" si="8" ref="G47:T47">SUM(G44:G46)</f>
        <v>16.14</v>
      </c>
      <c r="H47" s="41">
        <f t="shared" si="8"/>
        <v>57.83</v>
      </c>
      <c r="I47" s="41">
        <f t="shared" si="8"/>
        <v>443.2</v>
      </c>
      <c r="J47" s="41">
        <f t="shared" si="8"/>
        <v>0.31</v>
      </c>
      <c r="K47" s="41">
        <f t="shared" si="8"/>
        <v>0.45799999999999996</v>
      </c>
      <c r="L47" s="41">
        <f t="shared" si="8"/>
        <v>3.935</v>
      </c>
      <c r="M47" s="41">
        <f t="shared" si="8"/>
        <v>0.218</v>
      </c>
      <c r="N47" s="41">
        <f t="shared" si="8"/>
        <v>1.4400000000000002</v>
      </c>
      <c r="O47" s="41">
        <f t="shared" si="8"/>
        <v>254.71</v>
      </c>
      <c r="P47" s="41">
        <f t="shared" si="8"/>
        <v>446.28</v>
      </c>
      <c r="Q47" s="41">
        <f t="shared" si="8"/>
        <v>1.317</v>
      </c>
      <c r="R47" s="41">
        <f t="shared" si="8"/>
        <v>0.021</v>
      </c>
      <c r="S47" s="41">
        <f t="shared" si="8"/>
        <v>102.523</v>
      </c>
      <c r="T47" s="41">
        <f t="shared" si="8"/>
        <v>3.423</v>
      </c>
    </row>
    <row r="48" spans="1:20" s="6" customFormat="1" ht="12" customHeight="1">
      <c r="A48" s="157" t="s">
        <v>35</v>
      </c>
      <c r="B48" s="157"/>
      <c r="C48" s="157"/>
      <c r="D48" s="157"/>
      <c r="E48" s="64"/>
      <c r="F48" s="65">
        <f aca="true" t="shared" si="9" ref="F48:T48">F47/F65</f>
        <v>0.18422222222222223</v>
      </c>
      <c r="G48" s="78">
        <f t="shared" si="9"/>
        <v>0.17543478260869566</v>
      </c>
      <c r="H48" s="78">
        <f t="shared" si="9"/>
        <v>0.15099216710182767</v>
      </c>
      <c r="I48" s="78">
        <f t="shared" si="9"/>
        <v>0.16294117647058823</v>
      </c>
      <c r="J48" s="78">
        <f t="shared" si="9"/>
        <v>0.22142857142857145</v>
      </c>
      <c r="K48" s="78">
        <f t="shared" si="9"/>
        <v>0.28624999999999995</v>
      </c>
      <c r="L48" s="78">
        <f t="shared" si="9"/>
        <v>0.05621428571428572</v>
      </c>
      <c r="M48" s="78">
        <f t="shared" si="9"/>
        <v>0.24222222222222223</v>
      </c>
      <c r="N48" s="78">
        <f t="shared" si="9"/>
        <v>0.12000000000000001</v>
      </c>
      <c r="O48" s="78">
        <f t="shared" si="9"/>
        <v>0.21225833333333333</v>
      </c>
      <c r="P48" s="78">
        <f t="shared" si="9"/>
        <v>0.37189999999999995</v>
      </c>
      <c r="Q48" s="78">
        <f t="shared" si="9"/>
        <v>0.09407142857142857</v>
      </c>
      <c r="R48" s="78">
        <f t="shared" si="9"/>
        <v>0.21</v>
      </c>
      <c r="S48" s="78">
        <f t="shared" si="9"/>
        <v>0.34174333333333334</v>
      </c>
      <c r="T48" s="78">
        <f t="shared" si="9"/>
        <v>0.19016666666666668</v>
      </c>
    </row>
    <row r="49" spans="1:20" s="6" customFormat="1" ht="12" customHeight="1">
      <c r="A49" s="60"/>
      <c r="B49" s="79"/>
      <c r="C49" s="79"/>
      <c r="D49" s="48"/>
      <c r="E49" s="80"/>
      <c r="F49" s="50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s="6" customFormat="1" ht="10.5" customHeight="1">
      <c r="A50" s="151" t="s">
        <v>36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</row>
    <row r="51" spans="1:20" s="6" customFormat="1" ht="13.5" customHeight="1">
      <c r="A51" s="32">
        <v>52</v>
      </c>
      <c r="B51" s="152" t="s">
        <v>61</v>
      </c>
      <c r="C51" s="152"/>
      <c r="D51" s="24">
        <v>60</v>
      </c>
      <c r="E51" s="23">
        <v>4.72</v>
      </c>
      <c r="F51" s="23">
        <f>0.86*D51/60</f>
        <v>0.86</v>
      </c>
      <c r="G51" s="23">
        <f>3.05*D51/60</f>
        <v>3.05</v>
      </c>
      <c r="H51" s="23">
        <f>5.13*D51/60</f>
        <v>5.13</v>
      </c>
      <c r="I51" s="23">
        <f>F51*4+G51*9+H51*4</f>
        <v>51.41</v>
      </c>
      <c r="J51" s="23">
        <f>0.01*D51/60</f>
        <v>0.01</v>
      </c>
      <c r="K51" s="23">
        <f>0.02*D51/60</f>
        <v>0.02</v>
      </c>
      <c r="L51" s="61">
        <f>5.7*D51/60</f>
        <v>5.7</v>
      </c>
      <c r="M51" s="23">
        <f>0.01*D51/60</f>
        <v>0.01</v>
      </c>
      <c r="N51" s="23">
        <f>0.1*D51/60</f>
        <v>0.1</v>
      </c>
      <c r="O51" s="23">
        <f>26.61*D51/60</f>
        <v>26.61</v>
      </c>
      <c r="P51" s="23">
        <f>25.64*D51/60</f>
        <v>25.64</v>
      </c>
      <c r="Q51" s="23">
        <f>0.43*D51/60</f>
        <v>0.43</v>
      </c>
      <c r="R51" s="25">
        <f>0.01*D51/60</f>
        <v>0.01</v>
      </c>
      <c r="S51" s="61">
        <f>12.87*D51/60</f>
        <v>12.87</v>
      </c>
      <c r="T51" s="23">
        <f>0.84*D51/60</f>
        <v>0.84</v>
      </c>
    </row>
    <row r="52" spans="1:20" s="6" customFormat="1" ht="22.5" customHeight="1">
      <c r="A52" s="17">
        <v>103</v>
      </c>
      <c r="B52" s="152" t="s">
        <v>62</v>
      </c>
      <c r="C52" s="152"/>
      <c r="D52" s="26">
        <v>250</v>
      </c>
      <c r="E52" s="23">
        <v>15.73</v>
      </c>
      <c r="F52" s="29">
        <v>2.69</v>
      </c>
      <c r="G52" s="57">
        <v>2.84</v>
      </c>
      <c r="H52" s="57">
        <v>17.14</v>
      </c>
      <c r="I52" s="57">
        <v>104.75</v>
      </c>
      <c r="J52" s="57">
        <v>0.11</v>
      </c>
      <c r="K52" s="57">
        <v>0.21</v>
      </c>
      <c r="L52" s="57">
        <v>8.25</v>
      </c>
      <c r="M52" s="57">
        <v>0</v>
      </c>
      <c r="N52" s="57">
        <v>0.379</v>
      </c>
      <c r="O52" s="57">
        <v>24.6</v>
      </c>
      <c r="P52" s="57">
        <v>66.65</v>
      </c>
      <c r="Q52" s="57">
        <v>0.13</v>
      </c>
      <c r="R52" s="57">
        <v>0.001</v>
      </c>
      <c r="S52" s="57">
        <v>27</v>
      </c>
      <c r="T52" s="57">
        <v>1.09</v>
      </c>
    </row>
    <row r="53" spans="1:20" s="6" customFormat="1" ht="12" customHeight="1">
      <c r="A53" s="32">
        <v>232</v>
      </c>
      <c r="B53" s="173" t="s">
        <v>63</v>
      </c>
      <c r="C53" s="173"/>
      <c r="D53" s="174">
        <v>80</v>
      </c>
      <c r="E53" s="175">
        <v>31.64</v>
      </c>
      <c r="F53" s="29">
        <v>18.18</v>
      </c>
      <c r="G53" s="29">
        <v>10.863</v>
      </c>
      <c r="H53" s="29">
        <v>1.872</v>
      </c>
      <c r="I53" s="29">
        <v>177.975</v>
      </c>
      <c r="J53" s="29">
        <v>0.18</v>
      </c>
      <c r="K53" s="29">
        <v>0.153</v>
      </c>
      <c r="L53" s="29">
        <v>2.367</v>
      </c>
      <c r="M53" s="57">
        <v>0.028</v>
      </c>
      <c r="N53" s="29">
        <v>0.3</v>
      </c>
      <c r="O53" s="29">
        <v>77.5</v>
      </c>
      <c r="P53" s="29">
        <v>37.586</v>
      </c>
      <c r="Q53" s="31">
        <v>0.8</v>
      </c>
      <c r="R53" s="31">
        <v>0.04</v>
      </c>
      <c r="S53" s="29">
        <v>26.066</v>
      </c>
      <c r="T53" s="29">
        <v>0.821</v>
      </c>
    </row>
    <row r="54" spans="1:20" s="6" customFormat="1" ht="12" customHeight="1">
      <c r="A54" s="32">
        <v>312</v>
      </c>
      <c r="B54" s="152" t="s">
        <v>64</v>
      </c>
      <c r="C54" s="152"/>
      <c r="D54" s="24">
        <v>180</v>
      </c>
      <c r="E54" s="23">
        <v>20.06</v>
      </c>
      <c r="F54" s="23">
        <v>3.948</v>
      </c>
      <c r="G54" s="23">
        <v>8.472</v>
      </c>
      <c r="H54" s="23">
        <v>26.652</v>
      </c>
      <c r="I54" s="23">
        <v>198.648</v>
      </c>
      <c r="J54" s="23">
        <v>0.192</v>
      </c>
      <c r="K54" s="23">
        <v>0.156</v>
      </c>
      <c r="L54" s="23">
        <v>0.876</v>
      </c>
      <c r="M54" s="25">
        <v>0.096</v>
      </c>
      <c r="N54" s="26">
        <v>1.8</v>
      </c>
      <c r="O54" s="23">
        <v>51.048</v>
      </c>
      <c r="P54" s="61">
        <v>117.3</v>
      </c>
      <c r="Q54" s="25">
        <v>0.359</v>
      </c>
      <c r="R54" s="25">
        <v>0.001</v>
      </c>
      <c r="S54" s="23">
        <v>39.672</v>
      </c>
      <c r="T54" s="23">
        <v>1.428</v>
      </c>
    </row>
    <row r="55" spans="1:20" s="6" customFormat="1" ht="26.25" customHeight="1">
      <c r="A55" s="17">
        <v>345</v>
      </c>
      <c r="B55" s="152" t="s">
        <v>65</v>
      </c>
      <c r="C55" s="152"/>
      <c r="D55" s="24">
        <v>200</v>
      </c>
      <c r="E55" s="23">
        <v>5.5</v>
      </c>
      <c r="F55" s="29">
        <v>0.06</v>
      </c>
      <c r="G55" s="29">
        <v>0.02</v>
      </c>
      <c r="H55" s="29">
        <v>20.73</v>
      </c>
      <c r="I55" s="29">
        <v>83.34</v>
      </c>
      <c r="J55" s="30">
        <v>0</v>
      </c>
      <c r="K55" s="30">
        <v>0</v>
      </c>
      <c r="L55" s="31">
        <v>2.5</v>
      </c>
      <c r="M55" s="30">
        <v>0.004</v>
      </c>
      <c r="N55" s="30">
        <v>0.2</v>
      </c>
      <c r="O55" s="31">
        <v>4</v>
      </c>
      <c r="P55" s="31">
        <v>3.3</v>
      </c>
      <c r="Q55" s="31">
        <v>0.08</v>
      </c>
      <c r="R55" s="31">
        <v>0.001</v>
      </c>
      <c r="S55" s="31">
        <v>1.7</v>
      </c>
      <c r="T55" s="29">
        <v>0.15</v>
      </c>
    </row>
    <row r="56" spans="1:20" s="6" customFormat="1" ht="11.25" customHeight="1">
      <c r="A56" s="59" t="s">
        <v>30</v>
      </c>
      <c r="B56" s="152" t="s">
        <v>43</v>
      </c>
      <c r="C56" s="152"/>
      <c r="D56" s="24">
        <v>50</v>
      </c>
      <c r="E56" s="23">
        <v>2.35</v>
      </c>
      <c r="F56" s="23">
        <f>2.64*D56/40</f>
        <v>3.3</v>
      </c>
      <c r="G56" s="23">
        <f>0.48*D56/40</f>
        <v>0.6</v>
      </c>
      <c r="H56" s="23">
        <f>13.68*D56/40</f>
        <v>17.1</v>
      </c>
      <c r="I56" s="61">
        <f>F56*4+G56*9+H56*4</f>
        <v>87</v>
      </c>
      <c r="J56" s="26">
        <f>0.08*D56/40</f>
        <v>0.1</v>
      </c>
      <c r="K56" s="23">
        <f>0.04*D56/40</f>
        <v>0.05</v>
      </c>
      <c r="L56" s="24">
        <v>0</v>
      </c>
      <c r="M56" s="24">
        <v>0</v>
      </c>
      <c r="N56" s="23">
        <f>2.4*D56/40</f>
        <v>3</v>
      </c>
      <c r="O56" s="23">
        <f>14*D56/40</f>
        <v>17.5</v>
      </c>
      <c r="P56" s="23">
        <f>63.2*D56/40</f>
        <v>79</v>
      </c>
      <c r="Q56" s="23">
        <f>1.2*D56/40</f>
        <v>1.5</v>
      </c>
      <c r="R56" s="25">
        <f>0.001*D56/40</f>
        <v>0.00125</v>
      </c>
      <c r="S56" s="23">
        <f>9.4*D56/40</f>
        <v>11.75</v>
      </c>
      <c r="T56" s="26">
        <f>0.78*D56/40</f>
        <v>0.975</v>
      </c>
    </row>
    <row r="57" spans="1:20" s="6" customFormat="1" ht="11.25" customHeight="1">
      <c r="A57" s="62" t="s">
        <v>45</v>
      </c>
      <c r="B57" s="63"/>
      <c r="C57" s="63"/>
      <c r="D57" s="39">
        <f aca="true" t="shared" si="10" ref="D57:T57">SUM(D51:D56)</f>
        <v>820</v>
      </c>
      <c r="E57" s="40">
        <f t="shared" si="10"/>
        <v>80</v>
      </c>
      <c r="F57" s="41">
        <f t="shared" si="10"/>
        <v>29.038</v>
      </c>
      <c r="G57" s="41">
        <f t="shared" si="10"/>
        <v>25.845000000000002</v>
      </c>
      <c r="H57" s="41">
        <f t="shared" si="10"/>
        <v>88.624</v>
      </c>
      <c r="I57" s="41">
        <f t="shared" si="10"/>
        <v>703.123</v>
      </c>
      <c r="J57" s="41">
        <f t="shared" si="10"/>
        <v>0.592</v>
      </c>
      <c r="K57" s="41">
        <f t="shared" si="10"/>
        <v>0.5890000000000001</v>
      </c>
      <c r="L57" s="41">
        <f t="shared" si="10"/>
        <v>19.693</v>
      </c>
      <c r="M57" s="41">
        <f t="shared" si="10"/>
        <v>0.138</v>
      </c>
      <c r="N57" s="41">
        <f t="shared" si="10"/>
        <v>5.779</v>
      </c>
      <c r="O57" s="41">
        <f t="shared" si="10"/>
        <v>201.258</v>
      </c>
      <c r="P57" s="41">
        <f t="shared" si="10"/>
        <v>329.476</v>
      </c>
      <c r="Q57" s="41">
        <f t="shared" si="10"/>
        <v>3.2990000000000004</v>
      </c>
      <c r="R57" s="41">
        <f t="shared" si="10"/>
        <v>0.05425000000000001</v>
      </c>
      <c r="S57" s="41">
        <f t="shared" si="10"/>
        <v>119.05799999999999</v>
      </c>
      <c r="T57" s="41">
        <f t="shared" si="10"/>
        <v>5.304</v>
      </c>
    </row>
    <row r="58" spans="1:20" s="6" customFormat="1" ht="11.25" customHeight="1">
      <c r="A58" s="157" t="s">
        <v>35</v>
      </c>
      <c r="B58" s="157"/>
      <c r="C58" s="157"/>
      <c r="D58" s="157"/>
      <c r="E58" s="64"/>
      <c r="F58" s="65">
        <f aca="true" t="shared" si="11" ref="F58:T58">F57/F65</f>
        <v>0.32264444444444446</v>
      </c>
      <c r="G58" s="46">
        <f t="shared" si="11"/>
        <v>0.2809239130434783</v>
      </c>
      <c r="H58" s="46">
        <f t="shared" si="11"/>
        <v>0.2313942558746736</v>
      </c>
      <c r="I58" s="46">
        <f t="shared" si="11"/>
        <v>0.2585011029411765</v>
      </c>
      <c r="J58" s="46">
        <f t="shared" si="11"/>
        <v>0.4228571428571429</v>
      </c>
      <c r="K58" s="46">
        <f t="shared" si="11"/>
        <v>0.36812500000000004</v>
      </c>
      <c r="L58" s="46">
        <f t="shared" si="11"/>
        <v>0.28132857142857143</v>
      </c>
      <c r="M58" s="46">
        <f t="shared" si="11"/>
        <v>0.15333333333333335</v>
      </c>
      <c r="N58" s="46">
        <f t="shared" si="11"/>
        <v>0.4815833333333333</v>
      </c>
      <c r="O58" s="46">
        <f t="shared" si="11"/>
        <v>0.167715</v>
      </c>
      <c r="P58" s="46">
        <f t="shared" si="11"/>
        <v>0.2745633333333333</v>
      </c>
      <c r="Q58" s="46">
        <f t="shared" si="11"/>
        <v>0.23564285714285718</v>
      </c>
      <c r="R58" s="46">
        <f t="shared" si="11"/>
        <v>0.5425</v>
      </c>
      <c r="S58" s="46">
        <f t="shared" si="11"/>
        <v>0.39686</v>
      </c>
      <c r="T58" s="46">
        <f t="shared" si="11"/>
        <v>0.2946666666666667</v>
      </c>
    </row>
    <row r="59" spans="1:20" s="6" customFormat="1" ht="11.25" customHeight="1">
      <c r="A59" s="151" t="s">
        <v>46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</row>
    <row r="60" spans="1:20" s="6" customFormat="1" ht="11.25" customHeight="1">
      <c r="A60" s="17">
        <v>406</v>
      </c>
      <c r="B60" s="152" t="s">
        <v>66</v>
      </c>
      <c r="C60" s="152"/>
      <c r="D60" s="24">
        <v>75</v>
      </c>
      <c r="E60" s="23">
        <v>16.19</v>
      </c>
      <c r="F60" s="23">
        <v>11</v>
      </c>
      <c r="G60" s="61">
        <v>9.5</v>
      </c>
      <c r="H60" s="61">
        <v>31.5</v>
      </c>
      <c r="I60" s="23">
        <f>F60*4+G60*9+H60*4</f>
        <v>255.5</v>
      </c>
      <c r="J60" s="23">
        <v>0.1</v>
      </c>
      <c r="K60" s="23">
        <v>0.3</v>
      </c>
      <c r="L60" s="23">
        <v>0.6</v>
      </c>
      <c r="M60" s="23">
        <v>0.13</v>
      </c>
      <c r="N60" s="23">
        <v>1.8</v>
      </c>
      <c r="O60" s="23">
        <v>18.6</v>
      </c>
      <c r="P60" s="23">
        <v>113.8</v>
      </c>
      <c r="Q60" s="23">
        <v>1.63</v>
      </c>
      <c r="R60" s="23">
        <v>0.01</v>
      </c>
      <c r="S60" s="23">
        <v>17.4</v>
      </c>
      <c r="T60" s="23">
        <v>0.6</v>
      </c>
    </row>
    <row r="61" spans="1:20" s="6" customFormat="1" ht="12" customHeight="1">
      <c r="A61" s="17">
        <v>389</v>
      </c>
      <c r="B61" s="152" t="s">
        <v>67</v>
      </c>
      <c r="C61" s="152"/>
      <c r="D61" s="24">
        <v>200</v>
      </c>
      <c r="E61" s="23">
        <v>13.81</v>
      </c>
      <c r="F61" s="23">
        <v>3.17</v>
      </c>
      <c r="G61" s="23">
        <v>2.68</v>
      </c>
      <c r="H61" s="23">
        <v>15.95</v>
      </c>
      <c r="I61" s="23">
        <f>F61*4+G61*9+H61*4</f>
        <v>100.6</v>
      </c>
      <c r="J61" s="26">
        <v>0.04</v>
      </c>
      <c r="K61" s="26">
        <v>0.15</v>
      </c>
      <c r="L61" s="61">
        <v>1.3</v>
      </c>
      <c r="M61" s="26">
        <v>0.03</v>
      </c>
      <c r="N61" s="26">
        <v>0.06</v>
      </c>
      <c r="O61" s="61">
        <v>120.4</v>
      </c>
      <c r="P61" s="61">
        <v>90</v>
      </c>
      <c r="Q61" s="61">
        <v>1.1</v>
      </c>
      <c r="R61" s="61">
        <v>0.01</v>
      </c>
      <c r="S61" s="61">
        <v>14</v>
      </c>
      <c r="T61" s="23">
        <v>0.12</v>
      </c>
    </row>
    <row r="62" spans="1:20" s="9" customFormat="1" ht="11.25" customHeight="1">
      <c r="A62" s="62" t="s">
        <v>49</v>
      </c>
      <c r="B62" s="63"/>
      <c r="C62" s="63"/>
      <c r="D62" s="39">
        <f>SUM(D60:D61)</f>
        <v>275</v>
      </c>
      <c r="E62" s="40">
        <f>SUM(E60:E61)</f>
        <v>30</v>
      </c>
      <c r="F62" s="41">
        <f>SUM(F60:F61)</f>
        <v>14.17</v>
      </c>
      <c r="G62" s="41">
        <f aca="true" t="shared" si="12" ref="G62:T62">SUM(G60:G61)</f>
        <v>12.18</v>
      </c>
      <c r="H62" s="41">
        <f t="shared" si="12"/>
        <v>47.45</v>
      </c>
      <c r="I62" s="41">
        <f t="shared" si="12"/>
        <v>356.1</v>
      </c>
      <c r="J62" s="41">
        <f t="shared" si="12"/>
        <v>0.14</v>
      </c>
      <c r="K62" s="41">
        <f t="shared" si="12"/>
        <v>0.44999999999999996</v>
      </c>
      <c r="L62" s="41">
        <f t="shared" si="12"/>
        <v>1.9</v>
      </c>
      <c r="M62" s="41">
        <f t="shared" si="12"/>
        <v>0.16</v>
      </c>
      <c r="N62" s="41">
        <f t="shared" si="12"/>
        <v>1.86</v>
      </c>
      <c r="O62" s="41">
        <f t="shared" si="12"/>
        <v>139</v>
      </c>
      <c r="P62" s="41">
        <f t="shared" si="12"/>
        <v>203.8</v>
      </c>
      <c r="Q62" s="41">
        <f t="shared" si="12"/>
        <v>2.73</v>
      </c>
      <c r="R62" s="41">
        <f t="shared" si="12"/>
        <v>0.02</v>
      </c>
      <c r="S62" s="41">
        <f t="shared" si="12"/>
        <v>31.4</v>
      </c>
      <c r="T62" s="41">
        <f t="shared" si="12"/>
        <v>0.72</v>
      </c>
    </row>
    <row r="63" spans="1:20" s="9" customFormat="1" ht="11.25" customHeight="1">
      <c r="A63" s="157" t="s">
        <v>35</v>
      </c>
      <c r="B63" s="157"/>
      <c r="C63" s="157"/>
      <c r="D63" s="157"/>
      <c r="E63" s="64"/>
      <c r="F63" s="65">
        <f aca="true" t="shared" si="13" ref="F63:T63">F62/F65</f>
        <v>0.15744444444444444</v>
      </c>
      <c r="G63" s="81">
        <f t="shared" si="13"/>
        <v>0.1323913043478261</v>
      </c>
      <c r="H63" s="81">
        <f t="shared" si="13"/>
        <v>0.12389033942558747</v>
      </c>
      <c r="I63" s="81">
        <f t="shared" si="13"/>
        <v>0.13091911764705882</v>
      </c>
      <c r="J63" s="81">
        <f t="shared" si="13"/>
        <v>0.10000000000000002</v>
      </c>
      <c r="K63" s="81">
        <f t="shared" si="13"/>
        <v>0.28124999999999994</v>
      </c>
      <c r="L63" s="81">
        <f t="shared" si="13"/>
        <v>0.027142857142857142</v>
      </c>
      <c r="M63" s="81">
        <f t="shared" si="13"/>
        <v>0.17777777777777778</v>
      </c>
      <c r="N63" s="81">
        <f t="shared" si="13"/>
        <v>0.155</v>
      </c>
      <c r="O63" s="81">
        <f t="shared" si="13"/>
        <v>0.11583333333333333</v>
      </c>
      <c r="P63" s="81">
        <f t="shared" si="13"/>
        <v>0.16983333333333334</v>
      </c>
      <c r="Q63" s="81">
        <f t="shared" si="13"/>
        <v>0.195</v>
      </c>
      <c r="R63" s="81">
        <f t="shared" si="13"/>
        <v>0.19999999999999998</v>
      </c>
      <c r="S63" s="81">
        <f t="shared" si="13"/>
        <v>0.10466666666666666</v>
      </c>
      <c r="T63" s="81">
        <f t="shared" si="13"/>
        <v>0.04</v>
      </c>
    </row>
    <row r="64" spans="1:20" s="9" customFormat="1" ht="11.25" customHeight="1">
      <c r="A64" s="157" t="s">
        <v>50</v>
      </c>
      <c r="B64" s="157"/>
      <c r="C64" s="157"/>
      <c r="D64" s="157"/>
      <c r="E64" s="44"/>
      <c r="F64" s="41">
        <f aca="true" t="shared" si="14" ref="F64:T64">SUM(F47,F57,F62)</f>
        <v>59.788000000000004</v>
      </c>
      <c r="G64" s="42">
        <f t="shared" si="14"/>
        <v>54.165</v>
      </c>
      <c r="H64" s="42">
        <f t="shared" si="14"/>
        <v>193.904</v>
      </c>
      <c r="I64" s="42">
        <f t="shared" si="14"/>
        <v>1502.4230000000002</v>
      </c>
      <c r="J64" s="41">
        <f t="shared" si="14"/>
        <v>1.0419999999999998</v>
      </c>
      <c r="K64" s="41">
        <f t="shared" si="14"/>
        <v>1.497</v>
      </c>
      <c r="L64" s="82">
        <f t="shared" si="14"/>
        <v>25.528</v>
      </c>
      <c r="M64" s="41">
        <f t="shared" si="14"/>
        <v>0.516</v>
      </c>
      <c r="N64" s="82">
        <f t="shared" si="14"/>
        <v>9.079</v>
      </c>
      <c r="O64" s="42">
        <f t="shared" si="14"/>
        <v>594.9680000000001</v>
      </c>
      <c r="P64" s="41">
        <f t="shared" si="14"/>
        <v>979.556</v>
      </c>
      <c r="Q64" s="42">
        <f t="shared" si="14"/>
        <v>7.346</v>
      </c>
      <c r="R64" s="43">
        <f t="shared" si="14"/>
        <v>0.09525000000000002</v>
      </c>
      <c r="S64" s="41">
        <f t="shared" si="14"/>
        <v>252.981</v>
      </c>
      <c r="T64" s="41">
        <f t="shared" si="14"/>
        <v>9.447000000000001</v>
      </c>
    </row>
    <row r="65" spans="1:20" s="9" customFormat="1" ht="11.25" customHeight="1">
      <c r="A65" s="157" t="s">
        <v>51</v>
      </c>
      <c r="B65" s="157"/>
      <c r="C65" s="157"/>
      <c r="D65" s="157"/>
      <c r="E65" s="44"/>
      <c r="F65" s="23">
        <v>90</v>
      </c>
      <c r="G65" s="61">
        <v>92</v>
      </c>
      <c r="H65" s="61">
        <v>383</v>
      </c>
      <c r="I65" s="61">
        <v>2720</v>
      </c>
      <c r="J65" s="23">
        <v>1.4</v>
      </c>
      <c r="K65" s="23">
        <v>1.6</v>
      </c>
      <c r="L65" s="24">
        <v>70</v>
      </c>
      <c r="M65" s="23">
        <v>0.9</v>
      </c>
      <c r="N65" s="24">
        <v>12</v>
      </c>
      <c r="O65" s="24">
        <v>1200</v>
      </c>
      <c r="P65" s="24">
        <v>1200</v>
      </c>
      <c r="Q65" s="24">
        <v>14</v>
      </c>
      <c r="R65" s="61">
        <v>0.1</v>
      </c>
      <c r="S65" s="24">
        <v>300</v>
      </c>
      <c r="T65" s="23">
        <v>18</v>
      </c>
    </row>
    <row r="66" spans="1:20" s="83" customFormat="1" ht="11.25" customHeight="1">
      <c r="A66" s="161" t="s">
        <v>35</v>
      </c>
      <c r="B66" s="161"/>
      <c r="C66" s="161"/>
      <c r="D66" s="161"/>
      <c r="E66" s="44"/>
      <c r="F66" s="66">
        <f aca="true" t="shared" si="15" ref="F66:T66">F64/F65</f>
        <v>0.6643111111111112</v>
      </c>
      <c r="G66" s="67">
        <f t="shared" si="15"/>
        <v>0.58875</v>
      </c>
      <c r="H66" s="67">
        <f t="shared" si="15"/>
        <v>0.5062767624020887</v>
      </c>
      <c r="I66" s="67">
        <f t="shared" si="15"/>
        <v>0.5523613970588236</v>
      </c>
      <c r="J66" s="67">
        <f t="shared" si="15"/>
        <v>0.7442857142857142</v>
      </c>
      <c r="K66" s="67">
        <f t="shared" si="15"/>
        <v>0.935625</v>
      </c>
      <c r="L66" s="67">
        <f t="shared" si="15"/>
        <v>0.3646857142857143</v>
      </c>
      <c r="M66" s="68">
        <f t="shared" si="15"/>
        <v>0.5733333333333334</v>
      </c>
      <c r="N66" s="68">
        <f t="shared" si="15"/>
        <v>0.7565833333333334</v>
      </c>
      <c r="O66" s="67">
        <f t="shared" si="15"/>
        <v>0.49580666666666673</v>
      </c>
      <c r="P66" s="67">
        <f t="shared" si="15"/>
        <v>0.8162966666666667</v>
      </c>
      <c r="Q66" s="67">
        <f t="shared" si="15"/>
        <v>0.5247142857142857</v>
      </c>
      <c r="R66" s="68">
        <f t="shared" si="15"/>
        <v>0.9525000000000001</v>
      </c>
      <c r="S66" s="67">
        <f t="shared" si="15"/>
        <v>0.84327</v>
      </c>
      <c r="T66" s="67">
        <f t="shared" si="15"/>
        <v>0.5248333333333334</v>
      </c>
    </row>
    <row r="67" spans="1:20" s="9" customFormat="1" ht="11.25" customHeight="1">
      <c r="A67" s="5" t="s">
        <v>68</v>
      </c>
      <c r="B67" s="5"/>
      <c r="C67" s="69"/>
      <c r="D67" s="69"/>
      <c r="E67" s="70"/>
      <c r="F67" s="11"/>
      <c r="G67" s="6"/>
      <c r="H67" s="8"/>
      <c r="I67" s="8"/>
      <c r="J67" s="6"/>
      <c r="K67" s="6"/>
      <c r="L67" s="6"/>
      <c r="M67" s="143" t="s">
        <v>0</v>
      </c>
      <c r="N67" s="143"/>
      <c r="O67" s="143"/>
      <c r="P67" s="143"/>
      <c r="Q67" s="143"/>
      <c r="R67" s="143"/>
      <c r="S67" s="143"/>
      <c r="T67" s="143"/>
    </row>
    <row r="68" spans="1:20" s="9" customFormat="1" ht="11.25" customHeight="1">
      <c r="A68" s="5"/>
      <c r="B68" s="5"/>
      <c r="C68" s="69"/>
      <c r="D68" s="69"/>
      <c r="E68" s="70"/>
      <c r="F68" s="11"/>
      <c r="G68" s="6"/>
      <c r="H68" s="8"/>
      <c r="I68" s="8"/>
      <c r="J68" s="6"/>
      <c r="K68" s="6"/>
      <c r="L68" s="6"/>
      <c r="M68" s="84"/>
      <c r="N68" s="84"/>
      <c r="O68" s="84"/>
      <c r="P68" s="84"/>
      <c r="Q68" s="84"/>
      <c r="R68" s="84"/>
      <c r="S68" s="84"/>
      <c r="T68" s="84"/>
    </row>
    <row r="69" spans="1:20" s="9" customFormat="1" ht="11.25" customHeight="1">
      <c r="A69" s="158" t="s">
        <v>69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</row>
    <row r="70" spans="1:20" s="9" customFormat="1" ht="11.25" customHeight="1">
      <c r="A70" s="10" t="s">
        <v>70</v>
      </c>
      <c r="B70" s="5"/>
      <c r="C70" s="5"/>
      <c r="D70" s="8"/>
      <c r="E70" s="11"/>
      <c r="F70" s="7"/>
      <c r="G70" s="145" t="s">
        <v>71</v>
      </c>
      <c r="H70" s="145"/>
      <c r="I70" s="145"/>
      <c r="J70" s="6"/>
      <c r="K70" s="6"/>
      <c r="L70" s="146"/>
      <c r="M70" s="146"/>
      <c r="N70" s="147"/>
      <c r="O70" s="147"/>
      <c r="P70" s="147"/>
      <c r="Q70" s="147"/>
      <c r="R70" s="6"/>
      <c r="S70" s="6"/>
      <c r="T70" s="6"/>
    </row>
    <row r="71" spans="1:20" s="9" customFormat="1" ht="11.25" customHeight="1">
      <c r="A71" s="5"/>
      <c r="B71" s="5"/>
      <c r="C71" s="5"/>
      <c r="D71" s="162" t="s">
        <v>4</v>
      </c>
      <c r="E71" s="162"/>
      <c r="F71" s="162"/>
      <c r="G71" s="12">
        <v>1</v>
      </c>
      <c r="H71" s="6"/>
      <c r="I71" s="8"/>
      <c r="J71" s="8"/>
      <c r="K71" s="8"/>
      <c r="L71" s="162"/>
      <c r="M71" s="162"/>
      <c r="N71" s="145"/>
      <c r="O71" s="145"/>
      <c r="P71" s="145"/>
      <c r="Q71" s="145"/>
      <c r="R71" s="145"/>
      <c r="S71" s="145"/>
      <c r="T71" s="145"/>
    </row>
    <row r="72" spans="1:20" s="9" customFormat="1" ht="21.75" customHeight="1">
      <c r="A72" s="149" t="s">
        <v>54</v>
      </c>
      <c r="B72" s="149" t="s">
        <v>55</v>
      </c>
      <c r="C72" s="149"/>
      <c r="D72" s="149" t="s">
        <v>7</v>
      </c>
      <c r="E72" s="85"/>
      <c r="F72" s="149" t="s">
        <v>8</v>
      </c>
      <c r="G72" s="149"/>
      <c r="H72" s="149"/>
      <c r="I72" s="149" t="s">
        <v>9</v>
      </c>
      <c r="J72" s="149" t="s">
        <v>10</v>
      </c>
      <c r="K72" s="149"/>
      <c r="L72" s="149"/>
      <c r="M72" s="149"/>
      <c r="N72" s="149"/>
      <c r="O72" s="149" t="s">
        <v>11</v>
      </c>
      <c r="P72" s="149"/>
      <c r="Q72" s="149"/>
      <c r="R72" s="149"/>
      <c r="S72" s="149"/>
      <c r="T72" s="149"/>
    </row>
    <row r="73" spans="1:20" s="9" customFormat="1" ht="21" customHeight="1">
      <c r="A73" s="149"/>
      <c r="B73" s="149"/>
      <c r="C73" s="149"/>
      <c r="D73" s="149"/>
      <c r="E73" s="15"/>
      <c r="F73" s="16" t="s">
        <v>12</v>
      </c>
      <c r="G73" s="13" t="s">
        <v>13</v>
      </c>
      <c r="H73" s="13" t="s">
        <v>14</v>
      </c>
      <c r="I73" s="149"/>
      <c r="J73" s="13" t="s">
        <v>15</v>
      </c>
      <c r="K73" s="13" t="s">
        <v>16</v>
      </c>
      <c r="L73" s="13" t="s">
        <v>17</v>
      </c>
      <c r="M73" s="13" t="s">
        <v>18</v>
      </c>
      <c r="N73" s="13" t="s">
        <v>19</v>
      </c>
      <c r="O73" s="13" t="s">
        <v>20</v>
      </c>
      <c r="P73" s="13" t="s">
        <v>21</v>
      </c>
      <c r="Q73" s="13" t="s">
        <v>22</v>
      </c>
      <c r="R73" s="13" t="s">
        <v>23</v>
      </c>
      <c r="S73" s="13" t="s">
        <v>24</v>
      </c>
      <c r="T73" s="13" t="s">
        <v>25</v>
      </c>
    </row>
    <row r="74" spans="1:20" s="9" customFormat="1" ht="11.25" customHeight="1">
      <c r="A74" s="17">
        <v>1</v>
      </c>
      <c r="B74" s="150">
        <v>2</v>
      </c>
      <c r="C74" s="150"/>
      <c r="D74" s="18">
        <v>3</v>
      </c>
      <c r="E74" s="19"/>
      <c r="F74" s="19">
        <v>4</v>
      </c>
      <c r="G74" s="18">
        <v>5</v>
      </c>
      <c r="H74" s="18">
        <v>6</v>
      </c>
      <c r="I74" s="18">
        <v>7</v>
      </c>
      <c r="J74" s="18">
        <v>8</v>
      </c>
      <c r="K74" s="18">
        <v>9</v>
      </c>
      <c r="L74" s="18">
        <v>10</v>
      </c>
      <c r="M74" s="18">
        <v>11</v>
      </c>
      <c r="N74" s="18">
        <v>12</v>
      </c>
      <c r="O74" s="18">
        <v>13</v>
      </c>
      <c r="P74" s="18">
        <v>14</v>
      </c>
      <c r="Q74" s="18">
        <v>15</v>
      </c>
      <c r="R74" s="18">
        <v>16</v>
      </c>
      <c r="S74" s="18">
        <v>17</v>
      </c>
      <c r="T74" s="18">
        <v>18</v>
      </c>
    </row>
    <row r="75" spans="1:20" s="9" customFormat="1" ht="11.25" customHeight="1">
      <c r="A75" s="151" t="s">
        <v>26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</row>
    <row r="76" spans="1:20" s="6" customFormat="1" ht="11.25" customHeight="1">
      <c r="A76" s="20">
        <v>15</v>
      </c>
      <c r="B76" s="163" t="s">
        <v>27</v>
      </c>
      <c r="C76" s="163"/>
      <c r="D76" s="21" t="s">
        <v>28</v>
      </c>
      <c r="E76" s="22">
        <v>11.25</v>
      </c>
      <c r="F76" s="23">
        <v>0.46</v>
      </c>
      <c r="G76" s="23">
        <v>0.68</v>
      </c>
      <c r="H76" s="23">
        <v>0</v>
      </c>
      <c r="I76" s="23">
        <v>7.98</v>
      </c>
      <c r="J76" s="23">
        <v>0</v>
      </c>
      <c r="K76" s="23">
        <v>0.01</v>
      </c>
      <c r="L76" s="24">
        <v>0.01</v>
      </c>
      <c r="M76" s="24">
        <v>0.005</v>
      </c>
      <c r="N76" s="23">
        <v>0.01</v>
      </c>
      <c r="O76" s="23">
        <v>17.6</v>
      </c>
      <c r="P76" s="23">
        <v>10</v>
      </c>
      <c r="Q76" s="24">
        <v>0.08</v>
      </c>
      <c r="R76" s="24">
        <v>0.004</v>
      </c>
      <c r="S76" s="23">
        <v>0.7</v>
      </c>
      <c r="T76" s="23">
        <v>0.03</v>
      </c>
    </row>
    <row r="77" spans="1:20" s="6" customFormat="1" ht="21" customHeight="1">
      <c r="A77" s="17">
        <v>173</v>
      </c>
      <c r="B77" s="152" t="s">
        <v>29</v>
      </c>
      <c r="C77" s="152"/>
      <c r="D77" s="24">
        <v>200</v>
      </c>
      <c r="E77" s="23">
        <v>21.64</v>
      </c>
      <c r="F77" s="23">
        <v>9.038</v>
      </c>
      <c r="G77" s="23">
        <v>12.263</v>
      </c>
      <c r="H77" s="23">
        <v>36</v>
      </c>
      <c r="I77" s="23">
        <f>F77*4+G77*9+H77*4</f>
        <v>290.519</v>
      </c>
      <c r="J77" s="23">
        <v>0.275</v>
      </c>
      <c r="K77" s="23">
        <v>0.25</v>
      </c>
      <c r="L77" s="23">
        <v>1.625</v>
      </c>
      <c r="M77" s="23">
        <v>0.1</v>
      </c>
      <c r="N77" s="23">
        <v>0</v>
      </c>
      <c r="O77" s="23">
        <v>178.225</v>
      </c>
      <c r="P77" s="23">
        <v>277.975</v>
      </c>
      <c r="Q77" s="23">
        <v>0</v>
      </c>
      <c r="R77" s="23">
        <v>0.001</v>
      </c>
      <c r="S77" s="23">
        <v>82.113</v>
      </c>
      <c r="T77" s="23">
        <v>1.913</v>
      </c>
    </row>
    <row r="78" spans="1:20" s="6" customFormat="1" ht="11.25" customHeight="1">
      <c r="A78" s="132">
        <v>377</v>
      </c>
      <c r="B78" s="153" t="s">
        <v>48</v>
      </c>
      <c r="C78" s="153"/>
      <c r="D78" s="134">
        <v>200</v>
      </c>
      <c r="E78" s="128">
        <v>3.6</v>
      </c>
      <c r="F78" s="128">
        <v>0.26</v>
      </c>
      <c r="G78" s="128">
        <v>0.06</v>
      </c>
      <c r="H78" s="128">
        <v>15.22</v>
      </c>
      <c r="I78" s="128">
        <v>62.46</v>
      </c>
      <c r="J78" s="128">
        <v>0</v>
      </c>
      <c r="K78" s="128">
        <v>0.01</v>
      </c>
      <c r="L78" s="128">
        <v>2.9</v>
      </c>
      <c r="M78" s="129">
        <v>0</v>
      </c>
      <c r="N78" s="128">
        <v>0.06</v>
      </c>
      <c r="O78" s="128">
        <v>8.05</v>
      </c>
      <c r="P78" s="128">
        <v>9.78</v>
      </c>
      <c r="Q78" s="128">
        <v>0.017</v>
      </c>
      <c r="R78" s="133">
        <v>0</v>
      </c>
      <c r="S78" s="128">
        <v>5.24</v>
      </c>
      <c r="T78" s="128">
        <v>0.87</v>
      </c>
    </row>
    <row r="79" spans="1:20" s="6" customFormat="1" ht="11.25" customHeight="1">
      <c r="A79" s="77" t="s">
        <v>30</v>
      </c>
      <c r="B79" s="152" t="s">
        <v>33</v>
      </c>
      <c r="C79" s="152"/>
      <c r="D79" s="24">
        <v>20</v>
      </c>
      <c r="E79" s="23">
        <v>17.14</v>
      </c>
      <c r="F79" s="33">
        <v>0.65</v>
      </c>
      <c r="G79" s="34">
        <v>3.8</v>
      </c>
      <c r="H79" s="35">
        <v>17.6</v>
      </c>
      <c r="I79" s="33">
        <v>38</v>
      </c>
      <c r="J79" s="33">
        <v>0.026</v>
      </c>
      <c r="K79" s="33">
        <v>0.03</v>
      </c>
      <c r="L79" s="33">
        <v>0.13</v>
      </c>
      <c r="M79" s="33">
        <v>11.96</v>
      </c>
      <c r="N79" s="34">
        <v>0.39</v>
      </c>
      <c r="O79" s="33">
        <v>24.18</v>
      </c>
      <c r="P79" s="33">
        <v>49.4</v>
      </c>
      <c r="Q79" s="36">
        <v>0.2</v>
      </c>
      <c r="R79" s="33">
        <v>0.002</v>
      </c>
      <c r="S79" s="33">
        <v>18.72</v>
      </c>
      <c r="T79" s="33">
        <v>0.182</v>
      </c>
    </row>
    <row r="80" spans="1:20" s="6" customFormat="1" ht="11.25" customHeight="1">
      <c r="A80" s="27" t="s">
        <v>30</v>
      </c>
      <c r="B80" s="171" t="s">
        <v>31</v>
      </c>
      <c r="C80" s="171"/>
      <c r="D80" s="28" t="s">
        <v>32</v>
      </c>
      <c r="E80" s="23"/>
      <c r="F80" s="33">
        <v>5.6</v>
      </c>
      <c r="G80" s="34">
        <v>6.4</v>
      </c>
      <c r="H80" s="35">
        <v>9.4</v>
      </c>
      <c r="I80" s="33">
        <v>117.6</v>
      </c>
      <c r="J80" s="33">
        <v>0.08</v>
      </c>
      <c r="K80" s="33">
        <v>0.307</v>
      </c>
      <c r="L80" s="33">
        <v>2.6</v>
      </c>
      <c r="M80" s="33">
        <v>0.067</v>
      </c>
      <c r="N80" s="34">
        <v>0.292</v>
      </c>
      <c r="O80" s="33">
        <v>240</v>
      </c>
      <c r="P80" s="33">
        <v>180</v>
      </c>
      <c r="Q80" s="36">
        <v>0.8</v>
      </c>
      <c r="R80" s="33">
        <v>0.018</v>
      </c>
      <c r="S80" s="33">
        <v>28</v>
      </c>
      <c r="T80" s="33">
        <v>0.12</v>
      </c>
    </row>
    <row r="81" spans="1:20" s="6" customFormat="1" ht="14.25" customHeight="1">
      <c r="A81" s="37" t="s">
        <v>34</v>
      </c>
      <c r="B81" s="86"/>
      <c r="C81" s="86"/>
      <c r="D81" s="39">
        <v>775</v>
      </c>
      <c r="E81" s="40">
        <f>SUM(E76:E79)</f>
        <v>53.63</v>
      </c>
      <c r="F81" s="41">
        <f>SUM(F76:F80)</f>
        <v>16.008000000000003</v>
      </c>
      <c r="G81" s="41">
        <f aca="true" t="shared" si="16" ref="G81:T81">SUM(G76:G80)</f>
        <v>23.203000000000003</v>
      </c>
      <c r="H81" s="41">
        <f t="shared" si="16"/>
        <v>78.22</v>
      </c>
      <c r="I81" s="41">
        <f t="shared" si="16"/>
        <v>516.559</v>
      </c>
      <c r="J81" s="41">
        <f t="shared" si="16"/>
        <v>0.38100000000000006</v>
      </c>
      <c r="K81" s="41">
        <f t="shared" si="16"/>
        <v>0.607</v>
      </c>
      <c r="L81" s="41">
        <f t="shared" si="16"/>
        <v>7.265000000000001</v>
      </c>
      <c r="M81" s="41">
        <f t="shared" si="16"/>
        <v>12.132000000000001</v>
      </c>
      <c r="N81" s="41">
        <f t="shared" si="16"/>
        <v>0.752</v>
      </c>
      <c r="O81" s="41">
        <f t="shared" si="16"/>
        <v>468.055</v>
      </c>
      <c r="P81" s="41">
        <f t="shared" si="16"/>
        <v>527.155</v>
      </c>
      <c r="Q81" s="41">
        <f t="shared" si="16"/>
        <v>1.097</v>
      </c>
      <c r="R81" s="41">
        <f t="shared" si="16"/>
        <v>0.024999999999999998</v>
      </c>
      <c r="S81" s="41">
        <f t="shared" si="16"/>
        <v>134.773</v>
      </c>
      <c r="T81" s="41">
        <f t="shared" si="16"/>
        <v>3.115</v>
      </c>
    </row>
    <row r="82" spans="1:20" s="6" customFormat="1" ht="14.25" customHeight="1">
      <c r="A82" s="161" t="s">
        <v>35</v>
      </c>
      <c r="B82" s="161"/>
      <c r="C82" s="161"/>
      <c r="D82" s="161"/>
      <c r="E82" s="44"/>
      <c r="F82" s="66">
        <f aca="true" t="shared" si="17" ref="F82:T82">F81/F97</f>
        <v>0.1778666666666667</v>
      </c>
      <c r="G82" s="66">
        <f t="shared" si="17"/>
        <v>0.25220652173913044</v>
      </c>
      <c r="H82" s="66">
        <f t="shared" si="17"/>
        <v>0.20422976501305481</v>
      </c>
      <c r="I82" s="66">
        <f t="shared" si="17"/>
        <v>0.1899113970588235</v>
      </c>
      <c r="J82" s="66">
        <f t="shared" si="17"/>
        <v>0.2721428571428572</v>
      </c>
      <c r="K82" s="66">
        <f t="shared" si="17"/>
        <v>0.37937499999999996</v>
      </c>
      <c r="L82" s="66">
        <f t="shared" si="17"/>
        <v>0.1037857142857143</v>
      </c>
      <c r="M82" s="66">
        <f t="shared" si="17"/>
        <v>13.48</v>
      </c>
      <c r="N82" s="66">
        <f t="shared" si="17"/>
        <v>0.06266666666666666</v>
      </c>
      <c r="O82" s="67">
        <f t="shared" si="17"/>
        <v>0.3900458333333333</v>
      </c>
      <c r="P82" s="66">
        <f t="shared" si="17"/>
        <v>0.43929583333333333</v>
      </c>
      <c r="Q82" s="66">
        <f t="shared" si="17"/>
        <v>0.07835714285714286</v>
      </c>
      <c r="R82" s="66">
        <f t="shared" si="17"/>
        <v>0.24999999999999997</v>
      </c>
      <c r="S82" s="66">
        <f t="shared" si="17"/>
        <v>0.44924333333333333</v>
      </c>
      <c r="T82" s="67">
        <f t="shared" si="17"/>
        <v>0.17305555555555557</v>
      </c>
    </row>
    <row r="83" spans="1:20" s="6" customFormat="1" ht="11.25" customHeight="1">
      <c r="A83" s="151" t="s">
        <v>36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</row>
    <row r="84" spans="1:20" s="7" customFormat="1" ht="21.75" customHeight="1">
      <c r="A84" s="17">
        <v>24</v>
      </c>
      <c r="B84" s="176" t="s">
        <v>74</v>
      </c>
      <c r="C84" s="176"/>
      <c r="D84" s="174">
        <v>80</v>
      </c>
      <c r="E84" s="175">
        <v>15.1</v>
      </c>
      <c r="F84" s="29">
        <v>0.59</v>
      </c>
      <c r="G84" s="29">
        <v>3.69</v>
      </c>
      <c r="H84" s="29">
        <v>2.24</v>
      </c>
      <c r="I84" s="29">
        <v>44.52</v>
      </c>
      <c r="J84" s="29">
        <v>0.03</v>
      </c>
      <c r="K84" s="29">
        <v>0.03333333333333333</v>
      </c>
      <c r="L84" s="29">
        <v>10.06</v>
      </c>
      <c r="M84" s="57">
        <v>0</v>
      </c>
      <c r="N84" s="29">
        <v>1.25</v>
      </c>
      <c r="O84" s="29">
        <v>11.21</v>
      </c>
      <c r="P84" s="29">
        <v>20.77</v>
      </c>
      <c r="Q84" s="29">
        <v>0.25</v>
      </c>
      <c r="R84" s="57">
        <v>0.0016666666666666668</v>
      </c>
      <c r="S84" s="29">
        <v>9.76</v>
      </c>
      <c r="T84" s="29">
        <v>0.44</v>
      </c>
    </row>
    <row r="85" spans="1:20" s="6" customFormat="1" ht="22.5" customHeight="1">
      <c r="A85" s="17">
        <v>82</v>
      </c>
      <c r="B85" s="152" t="s">
        <v>75</v>
      </c>
      <c r="C85" s="152"/>
      <c r="D85" s="26">
        <v>250</v>
      </c>
      <c r="E85" s="23">
        <v>13.36</v>
      </c>
      <c r="F85" s="29">
        <v>2.43</v>
      </c>
      <c r="G85" s="29">
        <v>3.12</v>
      </c>
      <c r="H85" s="29">
        <v>12.01</v>
      </c>
      <c r="I85" s="29">
        <v>85.84</v>
      </c>
      <c r="J85" s="30">
        <v>0.064</v>
      </c>
      <c r="K85" s="30">
        <v>0.064</v>
      </c>
      <c r="L85" s="29">
        <v>20.98</v>
      </c>
      <c r="M85" s="57">
        <v>0.076</v>
      </c>
      <c r="N85" s="29">
        <v>0.257</v>
      </c>
      <c r="O85" s="29">
        <v>49.59</v>
      </c>
      <c r="P85" s="29">
        <v>58.68</v>
      </c>
      <c r="Q85" s="29">
        <v>0.746</v>
      </c>
      <c r="R85" s="57">
        <v>0.011</v>
      </c>
      <c r="S85" s="29">
        <v>25.43</v>
      </c>
      <c r="T85" s="29">
        <v>1.32</v>
      </c>
    </row>
    <row r="86" spans="1:20" s="6" customFormat="1" ht="11.25" customHeight="1">
      <c r="A86" s="17">
        <v>291</v>
      </c>
      <c r="B86" s="152" t="s">
        <v>76</v>
      </c>
      <c r="C86" s="152"/>
      <c r="D86" s="24">
        <v>240</v>
      </c>
      <c r="E86" s="23">
        <v>44.81</v>
      </c>
      <c r="F86" s="29">
        <v>20.3</v>
      </c>
      <c r="G86" s="29">
        <v>17</v>
      </c>
      <c r="H86" s="29">
        <v>35.69</v>
      </c>
      <c r="I86" s="29">
        <v>377</v>
      </c>
      <c r="J86" s="29">
        <v>0.06</v>
      </c>
      <c r="K86" s="29">
        <v>0.66</v>
      </c>
      <c r="L86" s="29">
        <v>1.01</v>
      </c>
      <c r="M86" s="29">
        <v>48</v>
      </c>
      <c r="N86" s="30">
        <v>0</v>
      </c>
      <c r="O86" s="29">
        <v>45.1</v>
      </c>
      <c r="P86" s="29">
        <v>199.3</v>
      </c>
      <c r="Q86" s="58">
        <v>0</v>
      </c>
      <c r="R86" s="58">
        <v>0</v>
      </c>
      <c r="S86" s="29">
        <v>47.5</v>
      </c>
      <c r="T86" s="29">
        <v>2.19</v>
      </c>
    </row>
    <row r="87" spans="1:20" s="6" customFormat="1" ht="12" customHeight="1">
      <c r="A87" s="17">
        <v>699</v>
      </c>
      <c r="B87" s="152" t="s">
        <v>77</v>
      </c>
      <c r="C87" s="152"/>
      <c r="D87" s="24">
        <v>200</v>
      </c>
      <c r="E87" s="23">
        <v>4.38</v>
      </c>
      <c r="F87" s="29">
        <v>0.1</v>
      </c>
      <c r="G87" s="30">
        <v>0</v>
      </c>
      <c r="H87" s="31">
        <v>15.7</v>
      </c>
      <c r="I87" s="29">
        <v>63.2</v>
      </c>
      <c r="J87" s="30">
        <v>0.018</v>
      </c>
      <c r="K87" s="30">
        <v>0.012</v>
      </c>
      <c r="L87" s="31">
        <v>8</v>
      </c>
      <c r="M87" s="30">
        <v>0</v>
      </c>
      <c r="N87" s="29">
        <v>0.2</v>
      </c>
      <c r="O87" s="29">
        <v>10.8</v>
      </c>
      <c r="P87" s="29">
        <v>1.7</v>
      </c>
      <c r="Q87" s="29">
        <v>0</v>
      </c>
      <c r="R87" s="57">
        <v>0</v>
      </c>
      <c r="S87" s="29">
        <v>5.8</v>
      </c>
      <c r="T87" s="29">
        <v>1.6</v>
      </c>
    </row>
    <row r="88" spans="1:20" s="6" customFormat="1" ht="11.25" customHeight="1">
      <c r="A88" s="59" t="s">
        <v>30</v>
      </c>
      <c r="B88" s="152" t="s">
        <v>43</v>
      </c>
      <c r="C88" s="152"/>
      <c r="D88" s="24">
        <v>50</v>
      </c>
      <c r="E88" s="23">
        <v>2.35</v>
      </c>
      <c r="F88" s="23">
        <f>2.64*D88/40</f>
        <v>3.3</v>
      </c>
      <c r="G88" s="23">
        <f>0.48*D88/40</f>
        <v>0.6</v>
      </c>
      <c r="H88" s="23">
        <f>13.68*D88/40</f>
        <v>17.1</v>
      </c>
      <c r="I88" s="23">
        <f>F88*4+G88*9+H88*4</f>
        <v>87</v>
      </c>
      <c r="J88" s="26">
        <f>0.08*D88/40</f>
        <v>0.1</v>
      </c>
      <c r="K88" s="23">
        <f>0.04*D88/40</f>
        <v>0.05</v>
      </c>
      <c r="L88" s="24">
        <v>0</v>
      </c>
      <c r="M88" s="24">
        <v>0</v>
      </c>
      <c r="N88" s="23">
        <f>2.4*D88/40</f>
        <v>3</v>
      </c>
      <c r="O88" s="23">
        <f>14*D88/40</f>
        <v>17.5</v>
      </c>
      <c r="P88" s="23">
        <f>63.2*D88/40</f>
        <v>79</v>
      </c>
      <c r="Q88" s="23">
        <f>1.2*D88/40</f>
        <v>1.5</v>
      </c>
      <c r="R88" s="25">
        <f>0.001*D88/40</f>
        <v>0.00125</v>
      </c>
      <c r="S88" s="23">
        <f>9.4*D88/40</f>
        <v>11.75</v>
      </c>
      <c r="T88" s="26">
        <f>0.78*D88/40</f>
        <v>0.975</v>
      </c>
    </row>
    <row r="89" spans="1:20" s="6" customFormat="1" ht="11.25" customHeight="1">
      <c r="A89" s="62" t="s">
        <v>45</v>
      </c>
      <c r="B89" s="63"/>
      <c r="C89" s="63"/>
      <c r="D89" s="39">
        <f aca="true" t="shared" si="18" ref="D89:T89">SUM(D84:D88)</f>
        <v>820</v>
      </c>
      <c r="E89" s="40">
        <f t="shared" si="18"/>
        <v>80</v>
      </c>
      <c r="F89" s="41">
        <f t="shared" si="18"/>
        <v>26.720000000000002</v>
      </c>
      <c r="G89" s="41">
        <f t="shared" si="18"/>
        <v>24.410000000000004</v>
      </c>
      <c r="H89" s="41">
        <f t="shared" si="18"/>
        <v>82.74000000000001</v>
      </c>
      <c r="I89" s="41">
        <f t="shared" si="18"/>
        <v>657.5600000000001</v>
      </c>
      <c r="J89" s="41">
        <f t="shared" si="18"/>
        <v>0.272</v>
      </c>
      <c r="K89" s="41">
        <f t="shared" si="18"/>
        <v>0.8193333333333335</v>
      </c>
      <c r="L89" s="41">
        <f t="shared" si="18"/>
        <v>40.05</v>
      </c>
      <c r="M89" s="41">
        <f t="shared" si="18"/>
        <v>48.076</v>
      </c>
      <c r="N89" s="41">
        <f t="shared" si="18"/>
        <v>4.707</v>
      </c>
      <c r="O89" s="41">
        <f t="shared" si="18"/>
        <v>134.2</v>
      </c>
      <c r="P89" s="41">
        <f t="shared" si="18"/>
        <v>359.45</v>
      </c>
      <c r="Q89" s="41">
        <f t="shared" si="18"/>
        <v>2.496</v>
      </c>
      <c r="R89" s="41">
        <f t="shared" si="18"/>
        <v>0.013916666666666666</v>
      </c>
      <c r="S89" s="41">
        <f t="shared" si="18"/>
        <v>100.24</v>
      </c>
      <c r="T89" s="41">
        <f t="shared" si="18"/>
        <v>6.525</v>
      </c>
    </row>
    <row r="90" spans="1:20" s="6" customFormat="1" ht="11.25" customHeight="1">
      <c r="A90" s="161" t="s">
        <v>35</v>
      </c>
      <c r="B90" s="161"/>
      <c r="C90" s="161"/>
      <c r="D90" s="161"/>
      <c r="E90" s="80"/>
      <c r="F90" s="87">
        <f aca="true" t="shared" si="19" ref="F90:T90">F89/F97</f>
        <v>0.2968888888888889</v>
      </c>
      <c r="G90" s="66">
        <f t="shared" si="19"/>
        <v>0.26532608695652177</v>
      </c>
      <c r="H90" s="66">
        <f t="shared" si="19"/>
        <v>0.2160313315926893</v>
      </c>
      <c r="I90" s="66">
        <f t="shared" si="19"/>
        <v>0.24175000000000002</v>
      </c>
      <c r="J90" s="66">
        <f t="shared" si="19"/>
        <v>0.1942857142857143</v>
      </c>
      <c r="K90" s="66">
        <f t="shared" si="19"/>
        <v>0.5120833333333333</v>
      </c>
      <c r="L90" s="66">
        <f t="shared" si="19"/>
        <v>0.5721428571428571</v>
      </c>
      <c r="M90" s="66">
        <f t="shared" si="19"/>
        <v>53.41777777777778</v>
      </c>
      <c r="N90" s="66">
        <f t="shared" si="19"/>
        <v>0.39225</v>
      </c>
      <c r="O90" s="67">
        <f t="shared" si="19"/>
        <v>0.11183333333333333</v>
      </c>
      <c r="P90" s="66">
        <f t="shared" si="19"/>
        <v>0.29954166666666665</v>
      </c>
      <c r="Q90" s="66">
        <f t="shared" si="19"/>
        <v>0.1782857142857143</v>
      </c>
      <c r="R90" s="66">
        <f t="shared" si="19"/>
        <v>0.13916666666666666</v>
      </c>
      <c r="S90" s="66">
        <f t="shared" si="19"/>
        <v>0.33413333333333334</v>
      </c>
      <c r="T90" s="67">
        <f t="shared" si="19"/>
        <v>0.36250000000000004</v>
      </c>
    </row>
    <row r="91" spans="1:20" s="6" customFormat="1" ht="11.25" customHeight="1">
      <c r="A91" s="151" t="s">
        <v>46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</row>
    <row r="92" spans="1:20" s="6" customFormat="1" ht="12" customHeight="1">
      <c r="A92" s="17"/>
      <c r="B92" s="152" t="s">
        <v>78</v>
      </c>
      <c r="C92" s="152"/>
      <c r="D92" s="24">
        <v>75</v>
      </c>
      <c r="E92" s="23">
        <v>26.4</v>
      </c>
      <c r="F92" s="23">
        <v>11</v>
      </c>
      <c r="G92" s="61">
        <v>9.5</v>
      </c>
      <c r="H92" s="61">
        <v>31.5</v>
      </c>
      <c r="I92" s="23">
        <f>F92*4+G92*9+H92*4</f>
        <v>255.5</v>
      </c>
      <c r="J92" s="23">
        <v>0.1</v>
      </c>
      <c r="K92" s="23">
        <v>0.3</v>
      </c>
      <c r="L92" s="23">
        <v>0.6</v>
      </c>
      <c r="M92" s="23">
        <v>0.13</v>
      </c>
      <c r="N92" s="23">
        <v>1.8</v>
      </c>
      <c r="O92" s="23">
        <v>18.6</v>
      </c>
      <c r="P92" s="23">
        <v>113.8</v>
      </c>
      <c r="Q92" s="23">
        <v>1.63</v>
      </c>
      <c r="R92" s="23">
        <v>0.01</v>
      </c>
      <c r="S92" s="23">
        <v>17.4</v>
      </c>
      <c r="T92" s="23">
        <v>0.6</v>
      </c>
    </row>
    <row r="93" spans="1:20" s="6" customFormat="1" ht="13.5" customHeight="1">
      <c r="A93" s="132">
        <v>377</v>
      </c>
      <c r="B93" s="153" t="s">
        <v>48</v>
      </c>
      <c r="C93" s="153"/>
      <c r="D93" s="134">
        <v>200</v>
      </c>
      <c r="E93" s="128">
        <v>3.6</v>
      </c>
      <c r="F93" s="128">
        <v>0.26</v>
      </c>
      <c r="G93" s="128">
        <v>0.06</v>
      </c>
      <c r="H93" s="128">
        <v>15.22</v>
      </c>
      <c r="I93" s="128">
        <v>62.46</v>
      </c>
      <c r="J93" s="128">
        <v>0</v>
      </c>
      <c r="K93" s="128">
        <v>0.01</v>
      </c>
      <c r="L93" s="128">
        <v>2.9</v>
      </c>
      <c r="M93" s="129">
        <v>0</v>
      </c>
      <c r="N93" s="128">
        <v>0.06</v>
      </c>
      <c r="O93" s="128">
        <v>8.05</v>
      </c>
      <c r="P93" s="128">
        <v>9.78</v>
      </c>
      <c r="Q93" s="128">
        <v>0.017</v>
      </c>
      <c r="R93" s="133">
        <v>0</v>
      </c>
      <c r="S93" s="128">
        <v>5.24</v>
      </c>
      <c r="T93" s="128">
        <v>0.87</v>
      </c>
    </row>
    <row r="94" spans="1:20" s="9" customFormat="1" ht="11.25" customHeight="1">
      <c r="A94" s="62" t="s">
        <v>49</v>
      </c>
      <c r="B94" s="63"/>
      <c r="C94" s="63"/>
      <c r="D94" s="39">
        <f>SUM(D92:D93)</f>
        <v>275</v>
      </c>
      <c r="E94" s="40">
        <f>SUM(E92:E93)</f>
        <v>30</v>
      </c>
      <c r="F94" s="41">
        <f>SUM(F92:F93)</f>
        <v>11.26</v>
      </c>
      <c r="G94" s="41">
        <f aca="true" t="shared" si="20" ref="G94:T94">SUM(G92:G93)</f>
        <v>9.56</v>
      </c>
      <c r="H94" s="41">
        <f t="shared" si="20"/>
        <v>46.72</v>
      </c>
      <c r="I94" s="41">
        <f t="shared" si="20"/>
        <v>317.96</v>
      </c>
      <c r="J94" s="41">
        <f t="shared" si="20"/>
        <v>0.1</v>
      </c>
      <c r="K94" s="41">
        <f t="shared" si="20"/>
        <v>0.31</v>
      </c>
      <c r="L94" s="41">
        <f t="shared" si="20"/>
        <v>3.5</v>
      </c>
      <c r="M94" s="41">
        <f t="shared" si="20"/>
        <v>0.13</v>
      </c>
      <c r="N94" s="41">
        <f t="shared" si="20"/>
        <v>1.86</v>
      </c>
      <c r="O94" s="41">
        <f t="shared" si="20"/>
        <v>26.650000000000002</v>
      </c>
      <c r="P94" s="41">
        <f t="shared" si="20"/>
        <v>123.58</v>
      </c>
      <c r="Q94" s="41">
        <f t="shared" si="20"/>
        <v>1.6469999999999998</v>
      </c>
      <c r="R94" s="41">
        <f t="shared" si="20"/>
        <v>0.01</v>
      </c>
      <c r="S94" s="41">
        <f t="shared" si="20"/>
        <v>22.64</v>
      </c>
      <c r="T94" s="41">
        <f t="shared" si="20"/>
        <v>1.47</v>
      </c>
    </row>
    <row r="95" spans="1:20" s="9" customFormat="1" ht="11.25" customHeight="1">
      <c r="A95" s="161" t="s">
        <v>35</v>
      </c>
      <c r="B95" s="161"/>
      <c r="C95" s="161"/>
      <c r="D95" s="161"/>
      <c r="E95" s="44"/>
      <c r="F95" s="66">
        <f aca="true" t="shared" si="21" ref="F95:T95">F94/F97</f>
        <v>0.12511111111111112</v>
      </c>
      <c r="G95" s="66">
        <f t="shared" si="21"/>
        <v>0.10391304347826087</v>
      </c>
      <c r="H95" s="66">
        <f t="shared" si="21"/>
        <v>0.12198433420365536</v>
      </c>
      <c r="I95" s="66">
        <f t="shared" si="21"/>
        <v>0.11689705882352941</v>
      </c>
      <c r="J95" s="66">
        <f t="shared" si="21"/>
        <v>0.07142857142857144</v>
      </c>
      <c r="K95" s="66">
        <f t="shared" si="21"/>
        <v>0.19374999999999998</v>
      </c>
      <c r="L95" s="66">
        <f t="shared" si="21"/>
        <v>0.05</v>
      </c>
      <c r="M95" s="66">
        <f t="shared" si="21"/>
        <v>0.14444444444444446</v>
      </c>
      <c r="N95" s="66">
        <f t="shared" si="21"/>
        <v>0.155</v>
      </c>
      <c r="O95" s="66">
        <f t="shared" si="21"/>
        <v>0.022208333333333333</v>
      </c>
      <c r="P95" s="66">
        <f t="shared" si="21"/>
        <v>0.10298333333333333</v>
      </c>
      <c r="Q95" s="66">
        <f t="shared" si="21"/>
        <v>0.11764285714285713</v>
      </c>
      <c r="R95" s="66">
        <f t="shared" si="21"/>
        <v>0.09999999999999999</v>
      </c>
      <c r="S95" s="66">
        <f t="shared" si="21"/>
        <v>0.07546666666666667</v>
      </c>
      <c r="T95" s="67">
        <f t="shared" si="21"/>
        <v>0.08166666666666667</v>
      </c>
    </row>
    <row r="96" spans="1:20" s="9" customFormat="1" ht="11.25" customHeight="1">
      <c r="A96" s="157" t="s">
        <v>50</v>
      </c>
      <c r="B96" s="157"/>
      <c r="C96" s="157"/>
      <c r="D96" s="157"/>
      <c r="E96" s="44"/>
      <c r="F96" s="41">
        <f aca="true" t="shared" si="22" ref="F96:T96">SUM(F81,F89,F94)</f>
        <v>53.98800000000001</v>
      </c>
      <c r="G96" s="42">
        <f t="shared" si="22"/>
        <v>57.17300000000001</v>
      </c>
      <c r="H96" s="42">
        <f t="shared" si="22"/>
        <v>207.68</v>
      </c>
      <c r="I96" s="42">
        <f t="shared" si="22"/>
        <v>1492.0790000000002</v>
      </c>
      <c r="J96" s="41">
        <f t="shared" si="22"/>
        <v>0.753</v>
      </c>
      <c r="K96" s="41">
        <f t="shared" si="22"/>
        <v>1.7363333333333335</v>
      </c>
      <c r="L96" s="82">
        <f t="shared" si="22"/>
        <v>50.815</v>
      </c>
      <c r="M96" s="41">
        <f t="shared" si="22"/>
        <v>60.338</v>
      </c>
      <c r="N96" s="82">
        <f t="shared" si="22"/>
        <v>7.319</v>
      </c>
      <c r="O96" s="42">
        <f t="shared" si="22"/>
        <v>628.905</v>
      </c>
      <c r="P96" s="42">
        <f t="shared" si="22"/>
        <v>1010.1850000000001</v>
      </c>
      <c r="Q96" s="42">
        <f t="shared" si="22"/>
        <v>5.24</v>
      </c>
      <c r="R96" s="43">
        <f t="shared" si="22"/>
        <v>0.048916666666666664</v>
      </c>
      <c r="S96" s="41">
        <f t="shared" si="22"/>
        <v>257.65299999999996</v>
      </c>
      <c r="T96" s="41">
        <f t="shared" si="22"/>
        <v>11.110000000000001</v>
      </c>
    </row>
    <row r="97" spans="1:20" s="9" customFormat="1" ht="11.25" customHeight="1">
      <c r="A97" s="157" t="s">
        <v>51</v>
      </c>
      <c r="B97" s="157"/>
      <c r="C97" s="157"/>
      <c r="D97" s="157"/>
      <c r="E97" s="44"/>
      <c r="F97" s="23">
        <v>90</v>
      </c>
      <c r="G97" s="61">
        <v>92</v>
      </c>
      <c r="H97" s="61">
        <v>383</v>
      </c>
      <c r="I97" s="61">
        <v>2720</v>
      </c>
      <c r="J97" s="23">
        <v>1.4</v>
      </c>
      <c r="K97" s="23">
        <v>1.6</v>
      </c>
      <c r="L97" s="24">
        <v>70</v>
      </c>
      <c r="M97" s="23">
        <v>0.9</v>
      </c>
      <c r="N97" s="24">
        <v>12</v>
      </c>
      <c r="O97" s="24">
        <v>1200</v>
      </c>
      <c r="P97" s="24">
        <v>1200</v>
      </c>
      <c r="Q97" s="24">
        <v>14</v>
      </c>
      <c r="R97" s="61">
        <v>0.1</v>
      </c>
      <c r="S97" s="24">
        <v>300</v>
      </c>
      <c r="T97" s="23">
        <v>18</v>
      </c>
    </row>
    <row r="98" spans="1:20" s="83" customFormat="1" ht="11.25" customHeight="1">
      <c r="A98" s="161" t="s">
        <v>35</v>
      </c>
      <c r="B98" s="161"/>
      <c r="C98" s="161"/>
      <c r="D98" s="161"/>
      <c r="E98" s="44"/>
      <c r="F98" s="66">
        <f aca="true" t="shared" si="23" ref="F98:T98">F96/F97</f>
        <v>0.5998666666666668</v>
      </c>
      <c r="G98" s="67">
        <f t="shared" si="23"/>
        <v>0.6214456521739131</v>
      </c>
      <c r="H98" s="67">
        <f t="shared" si="23"/>
        <v>0.5422454308093995</v>
      </c>
      <c r="I98" s="67">
        <f t="shared" si="23"/>
        <v>0.548558455882353</v>
      </c>
      <c r="J98" s="67">
        <f t="shared" si="23"/>
        <v>0.5378571428571429</v>
      </c>
      <c r="K98" s="67">
        <f t="shared" si="23"/>
        <v>1.0852083333333333</v>
      </c>
      <c r="L98" s="67">
        <f t="shared" si="23"/>
        <v>0.7259285714285714</v>
      </c>
      <c r="M98" s="68">
        <f t="shared" si="23"/>
        <v>67.04222222222222</v>
      </c>
      <c r="N98" s="67">
        <f t="shared" si="23"/>
        <v>0.6099166666666667</v>
      </c>
      <c r="O98" s="67">
        <f t="shared" si="23"/>
        <v>0.5240874999999999</v>
      </c>
      <c r="P98" s="67">
        <f t="shared" si="23"/>
        <v>0.8418208333333334</v>
      </c>
      <c r="Q98" s="67">
        <f t="shared" si="23"/>
        <v>0.3742857142857143</v>
      </c>
      <c r="R98" s="68">
        <f t="shared" si="23"/>
        <v>0.48916666666666664</v>
      </c>
      <c r="S98" s="67">
        <f t="shared" si="23"/>
        <v>0.8588433333333332</v>
      </c>
      <c r="T98" s="68">
        <f t="shared" si="23"/>
        <v>0.6172222222222223</v>
      </c>
    </row>
    <row r="99" spans="1:20" s="9" customFormat="1" ht="11.25" customHeight="1">
      <c r="A99" s="4"/>
      <c r="B99" s="5"/>
      <c r="C99" s="5"/>
      <c r="D99" s="6"/>
      <c r="E99" s="7"/>
      <c r="F99" s="7"/>
      <c r="G99" s="6"/>
      <c r="H99" s="6"/>
      <c r="I99" s="6"/>
      <c r="J99" s="6"/>
      <c r="K99" s="6"/>
      <c r="L99" s="6"/>
      <c r="M99" s="143" t="s">
        <v>0</v>
      </c>
      <c r="N99" s="143"/>
      <c r="O99" s="143"/>
      <c r="P99" s="143"/>
      <c r="Q99" s="143"/>
      <c r="R99" s="143"/>
      <c r="S99" s="143"/>
      <c r="T99" s="143"/>
    </row>
    <row r="100" spans="1:20" s="9" customFormat="1" ht="11.25" customHeight="1">
      <c r="A100" s="158" t="s">
        <v>79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</row>
    <row r="101" spans="1:20" s="9" customFormat="1" ht="11.25" customHeight="1">
      <c r="A101" s="10" t="s">
        <v>2</v>
      </c>
      <c r="B101" s="5"/>
      <c r="C101" s="5"/>
      <c r="D101" s="8"/>
      <c r="E101" s="11"/>
      <c r="F101" s="7"/>
      <c r="G101" s="145" t="s">
        <v>80</v>
      </c>
      <c r="H101" s="145"/>
      <c r="I101" s="145"/>
      <c r="J101" s="6"/>
      <c r="K101" s="6"/>
      <c r="L101" s="146"/>
      <c r="M101" s="146"/>
      <c r="N101" s="147"/>
      <c r="O101" s="147"/>
      <c r="P101" s="147"/>
      <c r="Q101" s="147"/>
      <c r="R101" s="6"/>
      <c r="S101" s="6"/>
      <c r="T101" s="6"/>
    </row>
    <row r="102" spans="1:20" s="9" customFormat="1" ht="11.25" customHeight="1">
      <c r="A102" s="5"/>
      <c r="B102" s="5"/>
      <c r="C102" s="5"/>
      <c r="D102" s="162" t="s">
        <v>4</v>
      </c>
      <c r="E102" s="162"/>
      <c r="F102" s="162"/>
      <c r="G102" s="12">
        <v>1</v>
      </c>
      <c r="H102" s="6"/>
      <c r="I102" s="8"/>
      <c r="J102" s="8"/>
      <c r="K102" s="8"/>
      <c r="L102" s="162"/>
      <c r="M102" s="162"/>
      <c r="N102" s="145"/>
      <c r="O102" s="145"/>
      <c r="P102" s="145"/>
      <c r="Q102" s="145"/>
      <c r="R102" s="145"/>
      <c r="S102" s="145"/>
      <c r="T102" s="145"/>
    </row>
    <row r="103" spans="1:20" s="9" customFormat="1" ht="21.75" customHeight="1">
      <c r="A103" s="149" t="s">
        <v>54</v>
      </c>
      <c r="B103" s="149" t="s">
        <v>55</v>
      </c>
      <c r="C103" s="149"/>
      <c r="D103" s="149" t="s">
        <v>7</v>
      </c>
      <c r="E103" s="85"/>
      <c r="F103" s="149" t="s">
        <v>8</v>
      </c>
      <c r="G103" s="149"/>
      <c r="H103" s="149"/>
      <c r="I103" s="149" t="s">
        <v>9</v>
      </c>
      <c r="J103" s="149" t="s">
        <v>10</v>
      </c>
      <c r="K103" s="149"/>
      <c r="L103" s="149"/>
      <c r="M103" s="149"/>
      <c r="N103" s="149"/>
      <c r="O103" s="149" t="s">
        <v>11</v>
      </c>
      <c r="P103" s="149"/>
      <c r="Q103" s="149"/>
      <c r="R103" s="149"/>
      <c r="S103" s="149"/>
      <c r="T103" s="149"/>
    </row>
    <row r="104" spans="1:20" s="9" customFormat="1" ht="21" customHeight="1">
      <c r="A104" s="149"/>
      <c r="B104" s="149"/>
      <c r="C104" s="149"/>
      <c r="D104" s="149"/>
      <c r="E104" s="15"/>
      <c r="F104" s="16" t="s">
        <v>12</v>
      </c>
      <c r="G104" s="13" t="s">
        <v>13</v>
      </c>
      <c r="H104" s="13" t="s">
        <v>14</v>
      </c>
      <c r="I104" s="149"/>
      <c r="J104" s="13" t="s">
        <v>15</v>
      </c>
      <c r="K104" s="13" t="s">
        <v>16</v>
      </c>
      <c r="L104" s="13" t="s">
        <v>17</v>
      </c>
      <c r="M104" s="13" t="s">
        <v>18</v>
      </c>
      <c r="N104" s="13" t="s">
        <v>19</v>
      </c>
      <c r="O104" s="13" t="s">
        <v>20</v>
      </c>
      <c r="P104" s="13" t="s">
        <v>21</v>
      </c>
      <c r="Q104" s="13" t="s">
        <v>22</v>
      </c>
      <c r="R104" s="13" t="s">
        <v>23</v>
      </c>
      <c r="S104" s="13" t="s">
        <v>24</v>
      </c>
      <c r="T104" s="13" t="s">
        <v>25</v>
      </c>
    </row>
    <row r="105" spans="1:20" s="9" customFormat="1" ht="11.25" customHeight="1">
      <c r="A105" s="17">
        <v>1</v>
      </c>
      <c r="B105" s="150">
        <v>2</v>
      </c>
      <c r="C105" s="150"/>
      <c r="D105" s="18">
        <v>3</v>
      </c>
      <c r="E105" s="19"/>
      <c r="F105" s="19">
        <v>4</v>
      </c>
      <c r="G105" s="18">
        <v>5</v>
      </c>
      <c r="H105" s="18">
        <v>6</v>
      </c>
      <c r="I105" s="18">
        <v>7</v>
      </c>
      <c r="J105" s="18">
        <v>8</v>
      </c>
      <c r="K105" s="18">
        <v>9</v>
      </c>
      <c r="L105" s="18">
        <v>10</v>
      </c>
      <c r="M105" s="18">
        <v>11</v>
      </c>
      <c r="N105" s="18">
        <v>12</v>
      </c>
      <c r="O105" s="18">
        <v>13</v>
      </c>
      <c r="P105" s="18">
        <v>14</v>
      </c>
      <c r="Q105" s="18">
        <v>15</v>
      </c>
      <c r="R105" s="18">
        <v>16</v>
      </c>
      <c r="S105" s="18">
        <v>17</v>
      </c>
      <c r="T105" s="18">
        <v>18</v>
      </c>
    </row>
    <row r="106" spans="1:20" s="9" customFormat="1" ht="11.25" customHeight="1">
      <c r="A106" s="151" t="s">
        <v>56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</row>
    <row r="107" spans="1:20" s="9" customFormat="1" ht="11.25" customHeight="1">
      <c r="A107" s="135" t="s">
        <v>30</v>
      </c>
      <c r="B107" s="154" t="s">
        <v>57</v>
      </c>
      <c r="C107" s="154"/>
      <c r="D107" s="136">
        <v>13</v>
      </c>
      <c r="E107" s="137">
        <v>1.97</v>
      </c>
      <c r="F107" s="137">
        <v>0.3333333333333333</v>
      </c>
      <c r="G107" s="137">
        <v>0.04</v>
      </c>
      <c r="H107" s="137">
        <v>1.1333333333333333</v>
      </c>
      <c r="I107" s="137">
        <v>6.226666666666667</v>
      </c>
      <c r="J107" s="138">
        <v>0.009</v>
      </c>
      <c r="K107" s="137">
        <v>0.01</v>
      </c>
      <c r="L107" s="139">
        <v>3</v>
      </c>
      <c r="M107" s="138">
        <v>0.003</v>
      </c>
      <c r="N107" s="136">
        <v>0.03</v>
      </c>
      <c r="O107" s="137">
        <v>6.9</v>
      </c>
      <c r="P107" s="137">
        <v>12.6</v>
      </c>
      <c r="Q107" s="138">
        <v>0.064</v>
      </c>
      <c r="R107" s="138">
        <v>0.001</v>
      </c>
      <c r="S107" s="137">
        <v>4.2</v>
      </c>
      <c r="T107" s="137">
        <v>0.18</v>
      </c>
    </row>
    <row r="108" spans="1:20" s="6" customFormat="1" ht="22.5" customHeight="1">
      <c r="A108" s="17">
        <v>268</v>
      </c>
      <c r="B108" s="164" t="s">
        <v>81</v>
      </c>
      <c r="C108" s="164"/>
      <c r="D108" s="24">
        <v>60</v>
      </c>
      <c r="E108" s="23">
        <v>37.53</v>
      </c>
      <c r="F108" s="29">
        <v>10.768</v>
      </c>
      <c r="G108" s="29">
        <v>8.687999999999999</v>
      </c>
      <c r="H108" s="29">
        <v>4.272</v>
      </c>
      <c r="I108" s="29">
        <v>198</v>
      </c>
      <c r="J108" s="29">
        <v>0.05600000000000001</v>
      </c>
      <c r="K108" s="29">
        <v>0.18400000000000002</v>
      </c>
      <c r="L108" s="29">
        <v>0.6</v>
      </c>
      <c r="M108" s="57">
        <v>0.2</v>
      </c>
      <c r="N108" s="29">
        <v>0.016</v>
      </c>
      <c r="O108" s="29">
        <v>58.992</v>
      </c>
      <c r="P108" s="29">
        <v>147.856</v>
      </c>
      <c r="Q108" s="29">
        <v>1.8239999999999998</v>
      </c>
      <c r="R108" s="57">
        <v>0.024</v>
      </c>
      <c r="S108" s="29">
        <v>23.888</v>
      </c>
      <c r="T108" s="29">
        <v>1.544</v>
      </c>
    </row>
    <row r="109" spans="1:20" s="6" customFormat="1" ht="24" customHeight="1">
      <c r="A109" s="17">
        <v>202</v>
      </c>
      <c r="B109" s="152" t="s">
        <v>41</v>
      </c>
      <c r="C109" s="152"/>
      <c r="D109" s="24">
        <v>180</v>
      </c>
      <c r="E109" s="23">
        <v>7.93</v>
      </c>
      <c r="F109" s="29">
        <v>6.84</v>
      </c>
      <c r="G109" s="29">
        <v>4.116</v>
      </c>
      <c r="H109" s="29">
        <v>43.74</v>
      </c>
      <c r="I109" s="29">
        <v>239.364</v>
      </c>
      <c r="J109" s="29">
        <v>0.108</v>
      </c>
      <c r="K109" s="29">
        <v>0.036</v>
      </c>
      <c r="L109" s="29">
        <v>0</v>
      </c>
      <c r="M109" s="57">
        <v>0.036</v>
      </c>
      <c r="N109" s="29">
        <v>1.5</v>
      </c>
      <c r="O109" s="29">
        <v>15.936</v>
      </c>
      <c r="P109" s="29">
        <v>55.452</v>
      </c>
      <c r="Q109" s="29">
        <v>0.936</v>
      </c>
      <c r="R109" s="57">
        <v>0.002</v>
      </c>
      <c r="S109" s="29">
        <v>10.164</v>
      </c>
      <c r="T109" s="29">
        <v>1.032</v>
      </c>
    </row>
    <row r="110" spans="1:20" s="6" customFormat="1" ht="12" customHeight="1">
      <c r="A110" s="132">
        <v>377</v>
      </c>
      <c r="B110" s="153" t="s">
        <v>48</v>
      </c>
      <c r="C110" s="153"/>
      <c r="D110" s="134">
        <v>200</v>
      </c>
      <c r="E110" s="128">
        <v>3.6</v>
      </c>
      <c r="F110" s="128">
        <v>0.26</v>
      </c>
      <c r="G110" s="128">
        <v>0.06</v>
      </c>
      <c r="H110" s="128">
        <v>15.22</v>
      </c>
      <c r="I110" s="128">
        <v>62.46</v>
      </c>
      <c r="J110" s="128">
        <v>0</v>
      </c>
      <c r="K110" s="128">
        <v>0.01</v>
      </c>
      <c r="L110" s="128">
        <v>2.9</v>
      </c>
      <c r="M110" s="129">
        <v>0</v>
      </c>
      <c r="N110" s="128">
        <v>0.06</v>
      </c>
      <c r="O110" s="128">
        <v>8.05</v>
      </c>
      <c r="P110" s="128">
        <v>9.78</v>
      </c>
      <c r="Q110" s="128">
        <v>0.017</v>
      </c>
      <c r="R110" s="133">
        <v>0</v>
      </c>
      <c r="S110" s="128">
        <v>5.24</v>
      </c>
      <c r="T110" s="128">
        <v>0.87</v>
      </c>
    </row>
    <row r="111" spans="1:20" s="6" customFormat="1" ht="11.25" customHeight="1">
      <c r="A111" s="32" t="s">
        <v>30</v>
      </c>
      <c r="B111" s="152" t="s">
        <v>59</v>
      </c>
      <c r="C111" s="152"/>
      <c r="D111" s="24">
        <v>40</v>
      </c>
      <c r="E111" s="23">
        <v>2.6</v>
      </c>
      <c r="F111" s="23">
        <f>1.52*D111/30</f>
        <v>2.0266666666666664</v>
      </c>
      <c r="G111" s="25">
        <f>0.16*D111/30</f>
        <v>0.21333333333333335</v>
      </c>
      <c r="H111" s="25">
        <f>9.84*D111/30</f>
        <v>13.120000000000001</v>
      </c>
      <c r="I111" s="25">
        <f>F111*4+G111*9+H111*4</f>
        <v>62.50666666666667</v>
      </c>
      <c r="J111" s="25">
        <f>0.02*D111/30</f>
        <v>0.02666666666666667</v>
      </c>
      <c r="K111" s="25">
        <f>0.01*D111/30</f>
        <v>0.013333333333333334</v>
      </c>
      <c r="L111" s="25">
        <f>0.44*D111/30</f>
        <v>0.5866666666666667</v>
      </c>
      <c r="M111" s="25">
        <v>0</v>
      </c>
      <c r="N111" s="25">
        <f>0.7*D111/30</f>
        <v>0.9333333333333333</v>
      </c>
      <c r="O111" s="25">
        <f>4*D111/30</f>
        <v>5.333333333333333</v>
      </c>
      <c r="P111" s="25">
        <f>13*D111/30</f>
        <v>17.333333333333332</v>
      </c>
      <c r="Q111" s="25">
        <f>0.008*D111/30</f>
        <v>0.010666666666666666</v>
      </c>
      <c r="R111" s="25">
        <f>0.001*D111/30</f>
        <v>0.0013333333333333333</v>
      </c>
      <c r="S111" s="25">
        <v>0</v>
      </c>
      <c r="T111" s="25">
        <f>0.22*D111/30</f>
        <v>0.29333333333333333</v>
      </c>
    </row>
    <row r="112" spans="1:20" s="6" customFormat="1" ht="11.25" customHeight="1">
      <c r="A112" s="62" t="s">
        <v>60</v>
      </c>
      <c r="B112" s="63"/>
      <c r="C112" s="63"/>
      <c r="D112" s="39">
        <f aca="true" t="shared" si="24" ref="D112:T112">SUM(D107:D111)</f>
        <v>493</v>
      </c>
      <c r="E112" s="40">
        <f t="shared" si="24"/>
        <v>53.63</v>
      </c>
      <c r="F112" s="41">
        <f t="shared" si="24"/>
        <v>20.228</v>
      </c>
      <c r="G112" s="41">
        <f t="shared" si="24"/>
        <v>13.117333333333331</v>
      </c>
      <c r="H112" s="41">
        <f t="shared" si="24"/>
        <v>77.48533333333334</v>
      </c>
      <c r="I112" s="41">
        <f t="shared" si="24"/>
        <v>568.5573333333333</v>
      </c>
      <c r="J112" s="41">
        <f t="shared" si="24"/>
        <v>0.19966666666666666</v>
      </c>
      <c r="K112" s="41">
        <f t="shared" si="24"/>
        <v>0.25333333333333335</v>
      </c>
      <c r="L112" s="41">
        <f t="shared" si="24"/>
        <v>7.086666666666667</v>
      </c>
      <c r="M112" s="41">
        <f t="shared" si="24"/>
        <v>0.23900000000000002</v>
      </c>
      <c r="N112" s="41">
        <f t="shared" si="24"/>
        <v>2.5393333333333334</v>
      </c>
      <c r="O112" s="41">
        <f t="shared" si="24"/>
        <v>95.21133333333333</v>
      </c>
      <c r="P112" s="41">
        <f t="shared" si="24"/>
        <v>243.02133333333333</v>
      </c>
      <c r="Q112" s="41">
        <f t="shared" si="24"/>
        <v>2.8516666666666666</v>
      </c>
      <c r="R112" s="41">
        <f t="shared" si="24"/>
        <v>0.028333333333333335</v>
      </c>
      <c r="S112" s="41">
        <f t="shared" si="24"/>
        <v>43.492000000000004</v>
      </c>
      <c r="T112" s="41">
        <f t="shared" si="24"/>
        <v>3.919333333333334</v>
      </c>
    </row>
    <row r="113" spans="1:20" s="6" customFormat="1" ht="11.25" customHeight="1">
      <c r="A113" s="161" t="s">
        <v>35</v>
      </c>
      <c r="B113" s="161"/>
      <c r="C113" s="161"/>
      <c r="D113" s="161"/>
      <c r="E113" s="80"/>
      <c r="F113" s="87">
        <f aca="true" t="shared" si="25" ref="F113:T113">F112/F129</f>
        <v>0.22475555555555557</v>
      </c>
      <c r="G113" s="66">
        <f t="shared" si="25"/>
        <v>0.1425797101449275</v>
      </c>
      <c r="H113" s="66">
        <f t="shared" si="25"/>
        <v>0.20231157528285468</v>
      </c>
      <c r="I113" s="66">
        <f t="shared" si="25"/>
        <v>0.209028431372549</v>
      </c>
      <c r="J113" s="66">
        <f t="shared" si="25"/>
        <v>0.14261904761904762</v>
      </c>
      <c r="K113" s="66">
        <f t="shared" si="25"/>
        <v>0.15833333333333333</v>
      </c>
      <c r="L113" s="66">
        <f t="shared" si="25"/>
        <v>0.10123809523809524</v>
      </c>
      <c r="M113" s="66">
        <f t="shared" si="25"/>
        <v>0.26555555555555554</v>
      </c>
      <c r="N113" s="66">
        <f t="shared" si="25"/>
        <v>0.2116111111111111</v>
      </c>
      <c r="O113" s="67">
        <f t="shared" si="25"/>
        <v>0.07934277777777778</v>
      </c>
      <c r="P113" s="66">
        <f t="shared" si="25"/>
        <v>0.20251777777777777</v>
      </c>
      <c r="Q113" s="66">
        <f t="shared" si="25"/>
        <v>0.20369047619047617</v>
      </c>
      <c r="R113" s="66">
        <f t="shared" si="25"/>
        <v>0.2833333333333333</v>
      </c>
      <c r="S113" s="66">
        <f t="shared" si="25"/>
        <v>0.14497333333333334</v>
      </c>
      <c r="T113" s="67">
        <f t="shared" si="25"/>
        <v>0.21774074074074076</v>
      </c>
    </row>
    <row r="114" spans="1:20" s="6" customFormat="1" ht="11.25" customHeight="1">
      <c r="A114" s="151" t="s">
        <v>36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</row>
    <row r="115" spans="1:20" s="6" customFormat="1" ht="22.5" customHeight="1">
      <c r="A115" s="51" t="s">
        <v>37</v>
      </c>
      <c r="B115" s="177" t="s">
        <v>38</v>
      </c>
      <c r="C115" s="177"/>
      <c r="D115" s="178">
        <v>50</v>
      </c>
      <c r="E115" s="179">
        <v>3.77</v>
      </c>
      <c r="F115" s="53">
        <v>0.9</v>
      </c>
      <c r="G115" s="53">
        <v>1.31</v>
      </c>
      <c r="H115" s="53">
        <v>5.6</v>
      </c>
      <c r="I115" s="53">
        <v>37.79</v>
      </c>
      <c r="J115" s="54">
        <v>0.06</v>
      </c>
      <c r="K115" s="53">
        <v>0.07</v>
      </c>
      <c r="L115" s="55">
        <v>15.5</v>
      </c>
      <c r="M115" s="54">
        <v>0.071</v>
      </c>
      <c r="N115" s="52">
        <v>0.3</v>
      </c>
      <c r="O115" s="53">
        <v>28.2</v>
      </c>
      <c r="P115" s="53">
        <v>18.9</v>
      </c>
      <c r="Q115" s="54">
        <v>0.2</v>
      </c>
      <c r="R115" s="54">
        <v>0.001</v>
      </c>
      <c r="S115" s="53">
        <v>10.5</v>
      </c>
      <c r="T115" s="53">
        <v>0.6</v>
      </c>
    </row>
    <row r="116" spans="1:20" s="6" customFormat="1" ht="15" customHeight="1">
      <c r="A116" s="17">
        <v>96</v>
      </c>
      <c r="B116" s="152" t="s">
        <v>82</v>
      </c>
      <c r="C116" s="152"/>
      <c r="D116" s="24">
        <v>250</v>
      </c>
      <c r="E116" s="23">
        <v>18.76</v>
      </c>
      <c r="F116" s="29">
        <v>2.6</v>
      </c>
      <c r="G116" s="29">
        <v>6.13</v>
      </c>
      <c r="H116" s="29">
        <v>17.03</v>
      </c>
      <c r="I116" s="29">
        <v>133.69</v>
      </c>
      <c r="J116" s="57">
        <v>0.12</v>
      </c>
      <c r="K116" s="57">
        <v>0.074</v>
      </c>
      <c r="L116" s="29">
        <v>16</v>
      </c>
      <c r="M116" s="29">
        <v>0.04</v>
      </c>
      <c r="N116" s="30">
        <v>25.3</v>
      </c>
      <c r="O116" s="29">
        <v>25.3</v>
      </c>
      <c r="P116" s="29">
        <v>71.1</v>
      </c>
      <c r="Q116" s="57">
        <v>0.38</v>
      </c>
      <c r="R116" s="57">
        <v>0.003</v>
      </c>
      <c r="S116" s="29">
        <v>26.7</v>
      </c>
      <c r="T116" s="29">
        <v>0.95</v>
      </c>
    </row>
    <row r="117" spans="1:20" s="6" customFormat="1" ht="23.25" customHeight="1">
      <c r="A117" s="17">
        <v>266</v>
      </c>
      <c r="B117" s="152" t="s">
        <v>83</v>
      </c>
      <c r="C117" s="152"/>
      <c r="D117" s="24">
        <v>80</v>
      </c>
      <c r="E117" s="23">
        <v>34.02</v>
      </c>
      <c r="F117" s="29">
        <v>12.976249999999999</v>
      </c>
      <c r="G117" s="29">
        <v>18.10375</v>
      </c>
      <c r="H117" s="29">
        <v>3.3337499999999998</v>
      </c>
      <c r="I117" s="29">
        <v>228.17375</v>
      </c>
      <c r="J117" s="29">
        <v>0.1575</v>
      </c>
      <c r="K117" s="29">
        <v>0.18375</v>
      </c>
      <c r="L117" s="29">
        <v>0.37625</v>
      </c>
      <c r="M117" s="29">
        <v>0.035</v>
      </c>
      <c r="N117" s="30">
        <v>0.052500000000000005</v>
      </c>
      <c r="O117" s="31">
        <v>42.39375</v>
      </c>
      <c r="P117" s="31">
        <v>155.67125</v>
      </c>
      <c r="Q117" s="29">
        <v>1.9949999999999999</v>
      </c>
      <c r="R117" s="57">
        <v>0.035</v>
      </c>
      <c r="S117" s="31">
        <v>21.39375</v>
      </c>
      <c r="T117" s="29">
        <v>1.68875</v>
      </c>
    </row>
    <row r="118" spans="1:20" s="6" customFormat="1" ht="13.5" customHeight="1">
      <c r="A118" s="32">
        <v>171</v>
      </c>
      <c r="B118" s="152" t="s">
        <v>102</v>
      </c>
      <c r="C118" s="152"/>
      <c r="D118" s="24">
        <v>180</v>
      </c>
      <c r="E118" s="23">
        <v>14.94</v>
      </c>
      <c r="F118" s="29">
        <v>7.884</v>
      </c>
      <c r="G118" s="29">
        <v>5.028</v>
      </c>
      <c r="H118" s="29">
        <v>38.784</v>
      </c>
      <c r="I118" s="29">
        <v>231.924</v>
      </c>
      <c r="J118" s="57">
        <v>0.072</v>
      </c>
      <c r="K118" s="57">
        <v>0.036</v>
      </c>
      <c r="L118" s="30">
        <v>0</v>
      </c>
      <c r="M118" s="57">
        <v>0.036</v>
      </c>
      <c r="N118" s="30">
        <v>3.06</v>
      </c>
      <c r="O118" s="29">
        <v>21.744</v>
      </c>
      <c r="P118" s="29">
        <v>188.436</v>
      </c>
      <c r="Q118" s="57">
        <v>1.068</v>
      </c>
      <c r="R118" s="57">
        <v>0.002</v>
      </c>
      <c r="S118" s="29">
        <v>125.34</v>
      </c>
      <c r="T118" s="29">
        <v>4.26</v>
      </c>
    </row>
    <row r="119" spans="1:20" s="6" customFormat="1" ht="30" customHeight="1">
      <c r="A119" s="32">
        <v>349</v>
      </c>
      <c r="B119" s="152" t="s">
        <v>42</v>
      </c>
      <c r="C119" s="152"/>
      <c r="D119" s="24">
        <v>200</v>
      </c>
      <c r="E119" s="23">
        <v>6.16</v>
      </c>
      <c r="F119" s="29">
        <v>0.2</v>
      </c>
      <c r="G119" s="30">
        <v>0</v>
      </c>
      <c r="H119" s="29">
        <v>24.42</v>
      </c>
      <c r="I119" s="29">
        <v>98.56</v>
      </c>
      <c r="J119" s="30">
        <v>0</v>
      </c>
      <c r="K119" s="30">
        <v>0</v>
      </c>
      <c r="L119" s="29">
        <v>26.11</v>
      </c>
      <c r="M119" s="30">
        <v>0</v>
      </c>
      <c r="N119" s="30">
        <v>0</v>
      </c>
      <c r="O119" s="31">
        <v>22.6</v>
      </c>
      <c r="P119" s="31">
        <v>7.7</v>
      </c>
      <c r="Q119" s="58">
        <v>0</v>
      </c>
      <c r="R119" s="58">
        <v>0</v>
      </c>
      <c r="S119" s="31">
        <v>3</v>
      </c>
      <c r="T119" s="29">
        <v>0.66</v>
      </c>
    </row>
    <row r="120" spans="1:20" s="6" customFormat="1" ht="11.25" customHeight="1">
      <c r="A120" s="59" t="s">
        <v>30</v>
      </c>
      <c r="B120" s="152" t="s">
        <v>43</v>
      </c>
      <c r="C120" s="152"/>
      <c r="D120" s="24">
        <v>50</v>
      </c>
      <c r="E120" s="23">
        <v>2.35</v>
      </c>
      <c r="F120" s="23">
        <f>2.64*D120/40</f>
        <v>3.3</v>
      </c>
      <c r="G120" s="23">
        <f>0.48*D120/40</f>
        <v>0.6</v>
      </c>
      <c r="H120" s="23">
        <f>13.68*D120/40</f>
        <v>17.1</v>
      </c>
      <c r="I120" s="61">
        <f>F120*4+G120*9+H120*4</f>
        <v>87</v>
      </c>
      <c r="J120" s="26">
        <f>0.08*D120/40</f>
        <v>0.1</v>
      </c>
      <c r="K120" s="23">
        <f>0.04*D120/40</f>
        <v>0.05</v>
      </c>
      <c r="L120" s="24">
        <v>0</v>
      </c>
      <c r="M120" s="24">
        <v>0</v>
      </c>
      <c r="N120" s="23">
        <f>2.4*D120/40</f>
        <v>3</v>
      </c>
      <c r="O120" s="23">
        <f>14*D120/40</f>
        <v>17.5</v>
      </c>
      <c r="P120" s="23">
        <f>63.2*D120/40</f>
        <v>79</v>
      </c>
      <c r="Q120" s="23">
        <f>1.2*D120/40</f>
        <v>1.5</v>
      </c>
      <c r="R120" s="25">
        <f>0.001*D120/40</f>
        <v>0.00125</v>
      </c>
      <c r="S120" s="23">
        <f>9.4*D120/40</f>
        <v>11.75</v>
      </c>
      <c r="T120" s="26">
        <f>0.78*D120/40</f>
        <v>0.975</v>
      </c>
    </row>
    <row r="121" spans="1:20" s="6" customFormat="1" ht="11.25" customHeight="1">
      <c r="A121" s="62" t="s">
        <v>45</v>
      </c>
      <c r="B121" s="63"/>
      <c r="C121" s="63"/>
      <c r="D121" s="39">
        <f aca="true" t="shared" si="26" ref="D121:T121">SUM(D115:D120)</f>
        <v>810</v>
      </c>
      <c r="E121" s="40">
        <f t="shared" si="26"/>
        <v>80</v>
      </c>
      <c r="F121" s="41">
        <f t="shared" si="26"/>
        <v>27.86025</v>
      </c>
      <c r="G121" s="41">
        <f t="shared" si="26"/>
        <v>31.171750000000003</v>
      </c>
      <c r="H121" s="41">
        <f t="shared" si="26"/>
        <v>106.26775</v>
      </c>
      <c r="I121" s="41">
        <f t="shared" si="26"/>
        <v>817.1377500000001</v>
      </c>
      <c r="J121" s="41">
        <f t="shared" si="26"/>
        <v>0.5095000000000001</v>
      </c>
      <c r="K121" s="41">
        <f t="shared" si="26"/>
        <v>0.41374999999999995</v>
      </c>
      <c r="L121" s="41">
        <f t="shared" si="26"/>
        <v>57.98625</v>
      </c>
      <c r="M121" s="41">
        <f t="shared" si="26"/>
        <v>0.182</v>
      </c>
      <c r="N121" s="41">
        <f t="shared" si="26"/>
        <v>31.7125</v>
      </c>
      <c r="O121" s="41">
        <f t="shared" si="26"/>
        <v>157.73775</v>
      </c>
      <c r="P121" s="41">
        <f t="shared" si="26"/>
        <v>520.8072500000001</v>
      </c>
      <c r="Q121" s="41">
        <f t="shared" si="26"/>
        <v>5.143000000000001</v>
      </c>
      <c r="R121" s="41">
        <f t="shared" si="26"/>
        <v>0.04225000000000001</v>
      </c>
      <c r="S121" s="41">
        <f t="shared" si="26"/>
        <v>198.68375</v>
      </c>
      <c r="T121" s="41">
        <f t="shared" si="26"/>
        <v>9.13375</v>
      </c>
    </row>
    <row r="122" spans="1:20" s="6" customFormat="1" ht="11.25" customHeight="1">
      <c r="A122" s="161" t="s">
        <v>35</v>
      </c>
      <c r="B122" s="161"/>
      <c r="C122" s="161"/>
      <c r="D122" s="161"/>
      <c r="E122" s="80"/>
      <c r="F122" s="87">
        <f aca="true" t="shared" si="27" ref="F122:T122">F121/F129</f>
        <v>0.3095583333333333</v>
      </c>
      <c r="G122" s="66">
        <f t="shared" si="27"/>
        <v>0.3388233695652174</v>
      </c>
      <c r="H122" s="66">
        <f t="shared" si="27"/>
        <v>0.27746148825065275</v>
      </c>
      <c r="I122" s="66">
        <f t="shared" si="27"/>
        <v>0.3004182904411765</v>
      </c>
      <c r="J122" s="66">
        <f t="shared" si="27"/>
        <v>0.3639285714285715</v>
      </c>
      <c r="K122" s="66">
        <f t="shared" si="27"/>
        <v>0.25859374999999996</v>
      </c>
      <c r="L122" s="66">
        <f t="shared" si="27"/>
        <v>0.828375</v>
      </c>
      <c r="M122" s="66">
        <f t="shared" si="27"/>
        <v>0.20222222222222222</v>
      </c>
      <c r="N122" s="66">
        <f t="shared" si="27"/>
        <v>2.642708333333333</v>
      </c>
      <c r="O122" s="67">
        <f t="shared" si="27"/>
        <v>0.131448125</v>
      </c>
      <c r="P122" s="66">
        <f t="shared" si="27"/>
        <v>0.43400604166666673</v>
      </c>
      <c r="Q122" s="66">
        <f t="shared" si="27"/>
        <v>0.3673571428571429</v>
      </c>
      <c r="R122" s="66">
        <f t="shared" si="27"/>
        <v>0.4225000000000001</v>
      </c>
      <c r="S122" s="66">
        <f t="shared" si="27"/>
        <v>0.6622791666666666</v>
      </c>
      <c r="T122" s="67">
        <f t="shared" si="27"/>
        <v>0.5074305555555555</v>
      </c>
    </row>
    <row r="123" spans="1:20" s="6" customFormat="1" ht="11.25" customHeight="1">
      <c r="A123" s="151" t="s">
        <v>46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</row>
    <row r="124" spans="1:20" s="6" customFormat="1" ht="12" customHeight="1">
      <c r="A124" s="17"/>
      <c r="B124" s="152" t="s">
        <v>84</v>
      </c>
      <c r="C124" s="152"/>
      <c r="D124" s="24">
        <v>75</v>
      </c>
      <c r="E124" s="23">
        <v>24.9</v>
      </c>
      <c r="F124" s="23">
        <v>11</v>
      </c>
      <c r="G124" s="61">
        <v>9.5</v>
      </c>
      <c r="H124" s="61">
        <v>31.5</v>
      </c>
      <c r="I124" s="23">
        <f>F124*4+G124*9+H124*4</f>
        <v>255.5</v>
      </c>
      <c r="J124" s="23">
        <v>0.1</v>
      </c>
      <c r="K124" s="23">
        <v>0.3</v>
      </c>
      <c r="L124" s="23">
        <v>0.6</v>
      </c>
      <c r="M124" s="23">
        <v>0.13</v>
      </c>
      <c r="N124" s="23">
        <v>1.8</v>
      </c>
      <c r="O124" s="23">
        <v>18.6</v>
      </c>
      <c r="P124" s="23">
        <v>113.8</v>
      </c>
      <c r="Q124" s="23">
        <v>1.63</v>
      </c>
      <c r="R124" s="23">
        <v>0.01</v>
      </c>
      <c r="S124" s="23">
        <v>17.4</v>
      </c>
      <c r="T124" s="23">
        <v>0.6</v>
      </c>
    </row>
    <row r="125" spans="1:20" s="6" customFormat="1" ht="21.75" customHeight="1">
      <c r="A125" s="17">
        <v>345</v>
      </c>
      <c r="B125" s="152" t="s">
        <v>65</v>
      </c>
      <c r="C125" s="152"/>
      <c r="D125" s="24">
        <v>200</v>
      </c>
      <c r="E125" s="23">
        <v>5.1</v>
      </c>
      <c r="F125" s="29">
        <v>0.06</v>
      </c>
      <c r="G125" s="29">
        <v>0.02</v>
      </c>
      <c r="H125" s="29">
        <v>20.73</v>
      </c>
      <c r="I125" s="29">
        <v>83.34</v>
      </c>
      <c r="J125" s="30">
        <v>0</v>
      </c>
      <c r="K125" s="30">
        <v>0</v>
      </c>
      <c r="L125" s="31">
        <v>2.5</v>
      </c>
      <c r="M125" s="30">
        <v>0.004</v>
      </c>
      <c r="N125" s="30">
        <v>0.2</v>
      </c>
      <c r="O125" s="31">
        <v>4</v>
      </c>
      <c r="P125" s="31">
        <v>3.3</v>
      </c>
      <c r="Q125" s="31">
        <v>0.08</v>
      </c>
      <c r="R125" s="31">
        <v>0.001</v>
      </c>
      <c r="S125" s="31">
        <v>1.7</v>
      </c>
      <c r="T125" s="29">
        <v>0.15</v>
      </c>
    </row>
    <row r="126" spans="1:20" s="9" customFormat="1" ht="11.25" customHeight="1">
      <c r="A126" s="62" t="s">
        <v>49</v>
      </c>
      <c r="B126" s="63"/>
      <c r="C126" s="63"/>
      <c r="D126" s="39">
        <f>SUM(D124:D125)</f>
        <v>275</v>
      </c>
      <c r="E126" s="40">
        <f>SUM(E124:E125)</f>
        <v>30</v>
      </c>
      <c r="F126" s="40">
        <f>SUM(F124:F125)</f>
        <v>11.06</v>
      </c>
      <c r="G126" s="40">
        <f aca="true" t="shared" si="28" ref="G126:T126">SUM(G124:G125)</f>
        <v>9.52</v>
      </c>
      <c r="H126" s="40">
        <f t="shared" si="28"/>
        <v>52.230000000000004</v>
      </c>
      <c r="I126" s="40">
        <f t="shared" si="28"/>
        <v>338.84000000000003</v>
      </c>
      <c r="J126" s="40">
        <f t="shared" si="28"/>
        <v>0.1</v>
      </c>
      <c r="K126" s="40">
        <f t="shared" si="28"/>
        <v>0.3</v>
      </c>
      <c r="L126" s="40">
        <f t="shared" si="28"/>
        <v>3.1</v>
      </c>
      <c r="M126" s="40">
        <f t="shared" si="28"/>
        <v>0.134</v>
      </c>
      <c r="N126" s="40">
        <f t="shared" si="28"/>
        <v>2</v>
      </c>
      <c r="O126" s="40">
        <f t="shared" si="28"/>
        <v>22.6</v>
      </c>
      <c r="P126" s="40">
        <f t="shared" si="28"/>
        <v>117.1</v>
      </c>
      <c r="Q126" s="40">
        <f t="shared" si="28"/>
        <v>1.71</v>
      </c>
      <c r="R126" s="40">
        <f t="shared" si="28"/>
        <v>0.011</v>
      </c>
      <c r="S126" s="40">
        <f t="shared" si="28"/>
        <v>19.099999999999998</v>
      </c>
      <c r="T126" s="40">
        <f t="shared" si="28"/>
        <v>0.75</v>
      </c>
    </row>
    <row r="127" spans="1:20" s="9" customFormat="1" ht="11.25" customHeight="1">
      <c r="A127" s="161" t="s">
        <v>35</v>
      </c>
      <c r="B127" s="161"/>
      <c r="C127" s="161"/>
      <c r="D127" s="161"/>
      <c r="E127" s="44"/>
      <c r="F127" s="66">
        <f aca="true" t="shared" si="29" ref="F127:T127">F126/F129</f>
        <v>0.1228888888888889</v>
      </c>
      <c r="G127" s="66">
        <f t="shared" si="29"/>
        <v>0.10347826086956521</v>
      </c>
      <c r="H127" s="66">
        <f t="shared" si="29"/>
        <v>0.13637075718015668</v>
      </c>
      <c r="I127" s="66">
        <f t="shared" si="29"/>
        <v>0.12457352941176472</v>
      </c>
      <c r="J127" s="66">
        <f t="shared" si="29"/>
        <v>0.07142857142857144</v>
      </c>
      <c r="K127" s="66">
        <f t="shared" si="29"/>
        <v>0.18749999999999997</v>
      </c>
      <c r="L127" s="66">
        <f t="shared" si="29"/>
        <v>0.04428571428571429</v>
      </c>
      <c r="M127" s="66">
        <f t="shared" si="29"/>
        <v>0.1488888888888889</v>
      </c>
      <c r="N127" s="66">
        <f t="shared" si="29"/>
        <v>0.16666666666666666</v>
      </c>
      <c r="O127" s="66">
        <f t="shared" si="29"/>
        <v>0.018833333333333334</v>
      </c>
      <c r="P127" s="66">
        <f t="shared" si="29"/>
        <v>0.09758333333333333</v>
      </c>
      <c r="Q127" s="66">
        <f t="shared" si="29"/>
        <v>0.12214285714285714</v>
      </c>
      <c r="R127" s="66">
        <f t="shared" si="29"/>
        <v>0.10999999999999999</v>
      </c>
      <c r="S127" s="66">
        <f t="shared" si="29"/>
        <v>0.06366666666666666</v>
      </c>
      <c r="T127" s="67">
        <f t="shared" si="29"/>
        <v>0.041666666666666664</v>
      </c>
    </row>
    <row r="128" spans="1:20" s="9" customFormat="1" ht="11.25" customHeight="1">
      <c r="A128" s="157" t="s">
        <v>50</v>
      </c>
      <c r="B128" s="157"/>
      <c r="C128" s="157"/>
      <c r="D128" s="157"/>
      <c r="E128" s="44"/>
      <c r="F128" s="41">
        <f aca="true" t="shared" si="30" ref="F128:T128">SUM(F112,F121,F126)</f>
        <v>59.148250000000004</v>
      </c>
      <c r="G128" s="42">
        <f t="shared" si="30"/>
        <v>53.809083333333334</v>
      </c>
      <c r="H128" s="42">
        <f t="shared" si="30"/>
        <v>235.98308333333335</v>
      </c>
      <c r="I128" s="42">
        <f t="shared" si="30"/>
        <v>1724.5350833333337</v>
      </c>
      <c r="J128" s="41">
        <f t="shared" si="30"/>
        <v>0.8091666666666667</v>
      </c>
      <c r="K128" s="41">
        <f t="shared" si="30"/>
        <v>0.9670833333333333</v>
      </c>
      <c r="L128" s="42">
        <f t="shared" si="30"/>
        <v>68.17291666666667</v>
      </c>
      <c r="M128" s="41">
        <f t="shared" si="30"/>
        <v>0.555</v>
      </c>
      <c r="N128" s="41">
        <f t="shared" si="30"/>
        <v>36.25183333333333</v>
      </c>
      <c r="O128" s="42">
        <f t="shared" si="30"/>
        <v>275.54908333333333</v>
      </c>
      <c r="P128" s="42">
        <f t="shared" si="30"/>
        <v>880.9285833333334</v>
      </c>
      <c r="Q128" s="41">
        <f t="shared" si="30"/>
        <v>9.704666666666668</v>
      </c>
      <c r="R128" s="43">
        <f t="shared" si="30"/>
        <v>0.08158333333333334</v>
      </c>
      <c r="S128" s="41">
        <f t="shared" si="30"/>
        <v>261.27575</v>
      </c>
      <c r="T128" s="41">
        <f t="shared" si="30"/>
        <v>13.803083333333333</v>
      </c>
    </row>
    <row r="129" spans="1:20" s="9" customFormat="1" ht="11.25" customHeight="1">
      <c r="A129" s="157" t="s">
        <v>51</v>
      </c>
      <c r="B129" s="157"/>
      <c r="C129" s="157"/>
      <c r="D129" s="157"/>
      <c r="E129" s="44"/>
      <c r="F129" s="23">
        <v>90</v>
      </c>
      <c r="G129" s="61">
        <v>92</v>
      </c>
      <c r="H129" s="61">
        <v>383</v>
      </c>
      <c r="I129" s="61">
        <v>2720</v>
      </c>
      <c r="J129" s="23">
        <v>1.4</v>
      </c>
      <c r="K129" s="23">
        <v>1.6</v>
      </c>
      <c r="L129" s="24">
        <v>70</v>
      </c>
      <c r="M129" s="23">
        <v>0.9</v>
      </c>
      <c r="N129" s="24">
        <v>12</v>
      </c>
      <c r="O129" s="24">
        <v>1200</v>
      </c>
      <c r="P129" s="24">
        <v>1200</v>
      </c>
      <c r="Q129" s="24">
        <v>14</v>
      </c>
      <c r="R129" s="61">
        <v>0.1</v>
      </c>
      <c r="S129" s="24">
        <v>300</v>
      </c>
      <c r="T129" s="23">
        <v>18</v>
      </c>
    </row>
    <row r="130" spans="1:20" s="9" customFormat="1" ht="11.25" customHeight="1">
      <c r="A130" s="161" t="s">
        <v>35</v>
      </c>
      <c r="B130" s="161"/>
      <c r="C130" s="161"/>
      <c r="D130" s="161"/>
      <c r="E130" s="44"/>
      <c r="F130" s="66">
        <f aca="true" t="shared" si="31" ref="F130:T130">F128/F129</f>
        <v>0.6572027777777778</v>
      </c>
      <c r="G130" s="67">
        <f t="shared" si="31"/>
        <v>0.5848813405797102</v>
      </c>
      <c r="H130" s="67">
        <f t="shared" si="31"/>
        <v>0.6161438207136641</v>
      </c>
      <c r="I130" s="67">
        <f t="shared" si="31"/>
        <v>0.6340202512254903</v>
      </c>
      <c r="J130" s="67">
        <f t="shared" si="31"/>
        <v>0.5779761904761905</v>
      </c>
      <c r="K130" s="67">
        <f t="shared" si="31"/>
        <v>0.6044270833333333</v>
      </c>
      <c r="L130" s="67">
        <f t="shared" si="31"/>
        <v>0.9738988095238095</v>
      </c>
      <c r="M130" s="68">
        <f t="shared" si="31"/>
        <v>0.6166666666666667</v>
      </c>
      <c r="N130" s="68">
        <f t="shared" si="31"/>
        <v>3.0209861111111107</v>
      </c>
      <c r="O130" s="67">
        <f t="shared" si="31"/>
        <v>0.2296242361111111</v>
      </c>
      <c r="P130" s="67">
        <f t="shared" si="31"/>
        <v>0.7341071527777778</v>
      </c>
      <c r="Q130" s="67">
        <f t="shared" si="31"/>
        <v>0.6931904761904762</v>
      </c>
      <c r="R130" s="68">
        <f t="shared" si="31"/>
        <v>0.8158333333333334</v>
      </c>
      <c r="S130" s="67">
        <f t="shared" si="31"/>
        <v>0.8709191666666667</v>
      </c>
      <c r="T130" s="68">
        <f t="shared" si="31"/>
        <v>0.7668379629629629</v>
      </c>
    </row>
    <row r="131" spans="1:20" s="9" customFormat="1" ht="11.25" customHeight="1">
      <c r="A131" s="5" t="s">
        <v>68</v>
      </c>
      <c r="B131" s="5"/>
      <c r="C131" s="69"/>
      <c r="D131" s="69"/>
      <c r="E131" s="70"/>
      <c r="F131" s="11"/>
      <c r="G131" s="6"/>
      <c r="H131" s="8"/>
      <c r="I131" s="8"/>
      <c r="J131" s="6"/>
      <c r="K131" s="6"/>
      <c r="L131" s="6"/>
      <c r="M131" s="143" t="s">
        <v>0</v>
      </c>
      <c r="N131" s="143"/>
      <c r="O131" s="143"/>
      <c r="P131" s="143"/>
      <c r="Q131" s="143"/>
      <c r="R131" s="143"/>
      <c r="S131" s="143"/>
      <c r="T131" s="143"/>
    </row>
    <row r="132" spans="1:20" s="9" customFormat="1" ht="11.25" customHeight="1">
      <c r="A132" s="5"/>
      <c r="B132" s="5"/>
      <c r="C132" s="69"/>
      <c r="D132" s="69"/>
      <c r="E132" s="70"/>
      <c r="F132" s="11"/>
      <c r="G132" s="6"/>
      <c r="H132" s="8"/>
      <c r="I132" s="8"/>
      <c r="J132" s="6"/>
      <c r="K132" s="6"/>
      <c r="L132" s="6"/>
      <c r="M132" s="84"/>
      <c r="N132" s="84"/>
      <c r="O132" s="84"/>
      <c r="P132" s="84"/>
      <c r="Q132" s="84"/>
      <c r="R132" s="84"/>
      <c r="S132" s="84"/>
      <c r="T132" s="84"/>
    </row>
    <row r="133" spans="1:20" s="9" customFormat="1" ht="11.25" customHeight="1">
      <c r="A133" s="158" t="s">
        <v>85</v>
      </c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</row>
    <row r="134" spans="1:20" s="9" customFormat="1" ht="11.25" customHeight="1">
      <c r="A134" s="10" t="s">
        <v>2</v>
      </c>
      <c r="B134" s="5"/>
      <c r="C134" s="5"/>
      <c r="D134" s="8"/>
      <c r="E134" s="11"/>
      <c r="F134" s="7"/>
      <c r="G134" s="145" t="s">
        <v>86</v>
      </c>
      <c r="H134" s="145"/>
      <c r="I134" s="145"/>
      <c r="J134" s="6"/>
      <c r="K134" s="6"/>
      <c r="L134" s="146"/>
      <c r="M134" s="146"/>
      <c r="N134" s="147"/>
      <c r="O134" s="147"/>
      <c r="P134" s="147"/>
      <c r="Q134" s="147"/>
      <c r="R134" s="6"/>
      <c r="S134" s="6"/>
      <c r="T134" s="6"/>
    </row>
    <row r="135" spans="1:20" s="9" customFormat="1" ht="11.25" customHeight="1">
      <c r="A135" s="5"/>
      <c r="B135" s="5"/>
      <c r="C135" s="5"/>
      <c r="D135" s="162" t="s">
        <v>4</v>
      </c>
      <c r="E135" s="162"/>
      <c r="F135" s="162"/>
      <c r="G135" s="12">
        <v>1</v>
      </c>
      <c r="H135" s="6"/>
      <c r="I135" s="8"/>
      <c r="J135" s="8"/>
      <c r="K135" s="8"/>
      <c r="L135" s="162"/>
      <c r="M135" s="162"/>
      <c r="N135" s="145"/>
      <c r="O135" s="145"/>
      <c r="P135" s="145"/>
      <c r="Q135" s="145"/>
      <c r="R135" s="145"/>
      <c r="S135" s="145"/>
      <c r="T135" s="145"/>
    </row>
    <row r="136" spans="1:20" s="9" customFormat="1" ht="21.75" customHeight="1">
      <c r="A136" s="149" t="s">
        <v>54</v>
      </c>
      <c r="B136" s="149" t="s">
        <v>55</v>
      </c>
      <c r="C136" s="149"/>
      <c r="D136" s="149" t="s">
        <v>7</v>
      </c>
      <c r="E136" s="85"/>
      <c r="F136" s="149" t="s">
        <v>8</v>
      </c>
      <c r="G136" s="149"/>
      <c r="H136" s="149"/>
      <c r="I136" s="149" t="s">
        <v>9</v>
      </c>
      <c r="J136" s="149" t="s">
        <v>10</v>
      </c>
      <c r="K136" s="149"/>
      <c r="L136" s="149"/>
      <c r="M136" s="149"/>
      <c r="N136" s="149"/>
      <c r="O136" s="149" t="s">
        <v>11</v>
      </c>
      <c r="P136" s="149"/>
      <c r="Q136" s="149"/>
      <c r="R136" s="149"/>
      <c r="S136" s="149"/>
      <c r="T136" s="149"/>
    </row>
    <row r="137" spans="1:20" s="9" customFormat="1" ht="21" customHeight="1">
      <c r="A137" s="149"/>
      <c r="B137" s="149"/>
      <c r="C137" s="149"/>
      <c r="D137" s="149"/>
      <c r="E137" s="15"/>
      <c r="F137" s="16" t="s">
        <v>12</v>
      </c>
      <c r="G137" s="13" t="s">
        <v>13</v>
      </c>
      <c r="H137" s="13" t="s">
        <v>14</v>
      </c>
      <c r="I137" s="149"/>
      <c r="J137" s="13" t="s">
        <v>15</v>
      </c>
      <c r="K137" s="13" t="s">
        <v>16</v>
      </c>
      <c r="L137" s="13" t="s">
        <v>17</v>
      </c>
      <c r="M137" s="13" t="s">
        <v>18</v>
      </c>
      <c r="N137" s="13" t="s">
        <v>19</v>
      </c>
      <c r="O137" s="13" t="s">
        <v>20</v>
      </c>
      <c r="P137" s="13" t="s">
        <v>21</v>
      </c>
      <c r="Q137" s="13" t="s">
        <v>22</v>
      </c>
      <c r="R137" s="13" t="s">
        <v>23</v>
      </c>
      <c r="S137" s="13" t="s">
        <v>24</v>
      </c>
      <c r="T137" s="13" t="s">
        <v>25</v>
      </c>
    </row>
    <row r="138" spans="1:20" s="9" customFormat="1" ht="11.25" customHeight="1">
      <c r="A138" s="17">
        <v>1</v>
      </c>
      <c r="B138" s="150">
        <v>2</v>
      </c>
      <c r="C138" s="150"/>
      <c r="D138" s="18">
        <v>3</v>
      </c>
      <c r="E138" s="19"/>
      <c r="F138" s="19">
        <v>4</v>
      </c>
      <c r="G138" s="18">
        <v>5</v>
      </c>
      <c r="H138" s="18">
        <v>6</v>
      </c>
      <c r="I138" s="18">
        <v>7</v>
      </c>
      <c r="J138" s="18">
        <v>8</v>
      </c>
      <c r="K138" s="18">
        <v>9</v>
      </c>
      <c r="L138" s="18">
        <v>10</v>
      </c>
      <c r="M138" s="18">
        <v>11</v>
      </c>
      <c r="N138" s="18">
        <v>12</v>
      </c>
      <c r="O138" s="18">
        <v>13</v>
      </c>
      <c r="P138" s="18">
        <v>14</v>
      </c>
      <c r="Q138" s="18">
        <v>15</v>
      </c>
      <c r="R138" s="18">
        <v>16</v>
      </c>
      <c r="S138" s="18">
        <v>17</v>
      </c>
      <c r="T138" s="18">
        <v>18</v>
      </c>
    </row>
    <row r="139" spans="1:20" s="9" customFormat="1" ht="11.25" customHeight="1">
      <c r="A139" s="151" t="s">
        <v>26</v>
      </c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</row>
    <row r="140" spans="1:20" s="9" customFormat="1" ht="11.25" customHeight="1">
      <c r="A140" s="88" t="s">
        <v>30</v>
      </c>
      <c r="B140" s="163" t="s">
        <v>87</v>
      </c>
      <c r="C140" s="163"/>
      <c r="D140" s="89">
        <v>20</v>
      </c>
      <c r="E140" s="22">
        <v>4.33</v>
      </c>
      <c r="F140" s="22">
        <f>0.33*D140/30</f>
        <v>0.22000000000000003</v>
      </c>
      <c r="G140" s="22">
        <f>0.08*D140/40</f>
        <v>0.04</v>
      </c>
      <c r="H140" s="22">
        <f>3.8*D140/100</f>
        <v>0.76</v>
      </c>
      <c r="I140" s="22">
        <f>F140*4+G140*9+H140*4</f>
        <v>4.28</v>
      </c>
      <c r="J140" s="90">
        <f>0.027*D140/40</f>
        <v>0.013500000000000002</v>
      </c>
      <c r="K140" s="90">
        <f>0.032*D140/40</f>
        <v>0.016</v>
      </c>
      <c r="L140" s="22">
        <f>9.733*D140/40</f>
        <v>4.8665</v>
      </c>
      <c r="M140" s="22">
        <f>0.36*D140/40</f>
        <v>0.18</v>
      </c>
      <c r="N140" s="89">
        <f>1.88*D140/40</f>
        <v>0.9399999999999998</v>
      </c>
      <c r="O140" s="91">
        <f>24.4*D140/40</f>
        <v>12.2</v>
      </c>
      <c r="P140" s="91">
        <f>30.36*D140/40</f>
        <v>15.180000000000001</v>
      </c>
      <c r="Q140" s="22">
        <f>0.28*D140/40</f>
        <v>0.14</v>
      </c>
      <c r="R140" s="90">
        <f>0.005*D140/40</f>
        <v>0.0025</v>
      </c>
      <c r="S140" s="22">
        <f>10.2*D140/40</f>
        <v>5.1</v>
      </c>
      <c r="T140" s="22">
        <f>0.4*D140/40</f>
        <v>0.2</v>
      </c>
    </row>
    <row r="141" spans="1:20" s="6" customFormat="1" ht="11.25" customHeight="1">
      <c r="A141" s="20">
        <v>15</v>
      </c>
      <c r="B141" s="163" t="s">
        <v>27</v>
      </c>
      <c r="C141" s="163"/>
      <c r="D141" s="21" t="s">
        <v>28</v>
      </c>
      <c r="E141" s="22">
        <v>11.25</v>
      </c>
      <c r="F141" s="23">
        <v>0.46</v>
      </c>
      <c r="G141" s="23">
        <v>0.68</v>
      </c>
      <c r="H141" s="23">
        <v>0</v>
      </c>
      <c r="I141" s="23">
        <v>7.98</v>
      </c>
      <c r="J141" s="23">
        <v>0</v>
      </c>
      <c r="K141" s="23">
        <v>0.01</v>
      </c>
      <c r="L141" s="24">
        <v>0.01</v>
      </c>
      <c r="M141" s="24">
        <v>0.005</v>
      </c>
      <c r="N141" s="23">
        <v>0.01</v>
      </c>
      <c r="O141" s="23">
        <v>17.6</v>
      </c>
      <c r="P141" s="23">
        <v>10</v>
      </c>
      <c r="Q141" s="24">
        <v>0.08</v>
      </c>
      <c r="R141" s="24">
        <v>0.004</v>
      </c>
      <c r="S141" s="23">
        <v>0.7</v>
      </c>
      <c r="T141" s="23">
        <v>0.03</v>
      </c>
    </row>
    <row r="142" spans="1:20" s="6" customFormat="1" ht="13.5" customHeight="1">
      <c r="A142" s="88">
        <v>210</v>
      </c>
      <c r="B142" s="163" t="s">
        <v>88</v>
      </c>
      <c r="C142" s="163"/>
      <c r="D142" s="92">
        <v>200</v>
      </c>
      <c r="E142" s="22">
        <v>34.45</v>
      </c>
      <c r="F142" s="93">
        <v>16.29</v>
      </c>
      <c r="G142" s="93">
        <v>18.99</v>
      </c>
      <c r="H142" s="93">
        <v>5.04</v>
      </c>
      <c r="I142" s="93">
        <v>256.23</v>
      </c>
      <c r="J142" s="93">
        <v>0.117</v>
      </c>
      <c r="K142" s="93">
        <v>0.27</v>
      </c>
      <c r="L142" s="93">
        <v>0.324</v>
      </c>
      <c r="M142" s="93">
        <v>0.036</v>
      </c>
      <c r="N142" s="94">
        <v>1.94</v>
      </c>
      <c r="O142" s="93">
        <v>131.38</v>
      </c>
      <c r="P142" s="93">
        <v>248.5</v>
      </c>
      <c r="Q142" s="93">
        <v>1.35</v>
      </c>
      <c r="R142" s="93">
        <v>0.03</v>
      </c>
      <c r="S142" s="93">
        <v>21.55</v>
      </c>
      <c r="T142" s="93">
        <v>1.51</v>
      </c>
    </row>
    <row r="143" spans="1:20" s="6" customFormat="1" ht="11.25" customHeight="1">
      <c r="A143" s="34">
        <v>377</v>
      </c>
      <c r="B143" s="148" t="s">
        <v>48</v>
      </c>
      <c r="C143" s="148"/>
      <c r="D143" s="58">
        <v>200</v>
      </c>
      <c r="E143" s="29">
        <v>3.6</v>
      </c>
      <c r="F143" s="128">
        <v>0.26</v>
      </c>
      <c r="G143" s="128">
        <v>0.06</v>
      </c>
      <c r="H143" s="128">
        <v>15.22</v>
      </c>
      <c r="I143" s="128">
        <v>62.46</v>
      </c>
      <c r="J143" s="128">
        <v>0</v>
      </c>
      <c r="K143" s="128">
        <v>0.01</v>
      </c>
      <c r="L143" s="128">
        <v>2.9</v>
      </c>
      <c r="M143" s="129">
        <v>0</v>
      </c>
      <c r="N143" s="128">
        <v>0.06</v>
      </c>
      <c r="O143" s="128">
        <v>8.05</v>
      </c>
      <c r="P143" s="128">
        <v>9.78</v>
      </c>
      <c r="Q143" s="128">
        <v>0.017</v>
      </c>
      <c r="R143" s="133">
        <v>0</v>
      </c>
      <c r="S143" s="128">
        <v>5.24</v>
      </c>
      <c r="T143" s="128">
        <v>0.87</v>
      </c>
    </row>
    <row r="144" spans="1:20" s="6" customFormat="1" ht="11.25" customHeight="1">
      <c r="A144" s="37" t="s">
        <v>34</v>
      </c>
      <c r="B144" s="95"/>
      <c r="C144" s="95"/>
      <c r="D144" s="96">
        <v>495</v>
      </c>
      <c r="E144" s="97">
        <f>SUM(E140:E143)</f>
        <v>53.63</v>
      </c>
      <c r="F144" s="98">
        <f>SUM(F140:F143)</f>
        <v>17.23</v>
      </c>
      <c r="G144" s="98">
        <f aca="true" t="shared" si="32" ref="G144:T144">SUM(G140:G143)</f>
        <v>19.769999999999996</v>
      </c>
      <c r="H144" s="98">
        <f t="shared" si="32"/>
        <v>21.02</v>
      </c>
      <c r="I144" s="98">
        <f t="shared" si="32"/>
        <v>330.95</v>
      </c>
      <c r="J144" s="98">
        <f t="shared" si="32"/>
        <v>0.1305</v>
      </c>
      <c r="K144" s="98">
        <f t="shared" si="32"/>
        <v>0.30600000000000005</v>
      </c>
      <c r="L144" s="98">
        <f t="shared" si="32"/>
        <v>8.1005</v>
      </c>
      <c r="M144" s="98">
        <f t="shared" si="32"/>
        <v>0.221</v>
      </c>
      <c r="N144" s="98">
        <f t="shared" si="32"/>
        <v>2.9499999999999997</v>
      </c>
      <c r="O144" s="98">
        <f t="shared" si="32"/>
        <v>169.23000000000002</v>
      </c>
      <c r="P144" s="98">
        <f t="shared" si="32"/>
        <v>283.46</v>
      </c>
      <c r="Q144" s="98">
        <f t="shared" si="32"/>
        <v>1.587</v>
      </c>
      <c r="R144" s="98">
        <f t="shared" si="32"/>
        <v>0.0365</v>
      </c>
      <c r="S144" s="98">
        <f t="shared" si="32"/>
        <v>32.59</v>
      </c>
      <c r="T144" s="98">
        <f t="shared" si="32"/>
        <v>2.61</v>
      </c>
    </row>
    <row r="145" spans="1:20" s="6" customFormat="1" ht="11.25" customHeight="1">
      <c r="A145" s="165" t="s">
        <v>35</v>
      </c>
      <c r="B145" s="165"/>
      <c r="C145" s="165"/>
      <c r="D145" s="165"/>
      <c r="E145" s="99"/>
      <c r="F145" s="100">
        <f aca="true" t="shared" si="33" ref="F145:T145">F144/F162</f>
        <v>0.19144444444444444</v>
      </c>
      <c r="G145" s="101">
        <f t="shared" si="33"/>
        <v>0.21489130434782605</v>
      </c>
      <c r="H145" s="101">
        <f t="shared" si="33"/>
        <v>0.054882506527415144</v>
      </c>
      <c r="I145" s="101">
        <f t="shared" si="33"/>
        <v>0.12167279411764706</v>
      </c>
      <c r="J145" s="101">
        <f t="shared" si="33"/>
        <v>0.09321428571428572</v>
      </c>
      <c r="K145" s="101">
        <f t="shared" si="33"/>
        <v>0.19125000000000003</v>
      </c>
      <c r="L145" s="101">
        <f t="shared" si="33"/>
        <v>0.11572142857142857</v>
      </c>
      <c r="M145" s="101">
        <f t="shared" si="33"/>
        <v>0.24555555555555555</v>
      </c>
      <c r="N145" s="101">
        <f t="shared" si="33"/>
        <v>0.24583333333333332</v>
      </c>
      <c r="O145" s="101">
        <f t="shared" si="33"/>
        <v>0.141025</v>
      </c>
      <c r="P145" s="101">
        <f t="shared" si="33"/>
        <v>0.23621666666666666</v>
      </c>
      <c r="Q145" s="101">
        <f t="shared" si="33"/>
        <v>0.11335714285714285</v>
      </c>
      <c r="R145" s="101">
        <f t="shared" si="33"/>
        <v>0.36499999999999994</v>
      </c>
      <c r="S145" s="101">
        <f t="shared" si="33"/>
        <v>0.10863333333333335</v>
      </c>
      <c r="T145" s="102">
        <f t="shared" si="33"/>
        <v>0.145</v>
      </c>
    </row>
    <row r="146" spans="1:20" s="6" customFormat="1" ht="11.25" customHeight="1">
      <c r="A146" s="166" t="s">
        <v>36</v>
      </c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</row>
    <row r="147" spans="1:20" s="6" customFormat="1" ht="15" customHeight="1">
      <c r="A147" s="32">
        <v>52</v>
      </c>
      <c r="B147" s="152" t="s">
        <v>61</v>
      </c>
      <c r="C147" s="152"/>
      <c r="D147" s="24">
        <v>60</v>
      </c>
      <c r="E147" s="23">
        <v>4.72</v>
      </c>
      <c r="F147" s="23">
        <f>0.86*D147/60</f>
        <v>0.86</v>
      </c>
      <c r="G147" s="23">
        <f>3.05*D147/60</f>
        <v>3.05</v>
      </c>
      <c r="H147" s="23">
        <f>5.13*D147/60</f>
        <v>5.13</v>
      </c>
      <c r="I147" s="23">
        <f>F147*4+G147*9+H147*4</f>
        <v>51.41</v>
      </c>
      <c r="J147" s="23">
        <f>0.01*D147/60</f>
        <v>0.01</v>
      </c>
      <c r="K147" s="23">
        <f>0.02*D147/60</f>
        <v>0.02</v>
      </c>
      <c r="L147" s="61">
        <f>5.7*D147/60</f>
        <v>5.7</v>
      </c>
      <c r="M147" s="23">
        <f>0.01*D147/60</f>
        <v>0.01</v>
      </c>
      <c r="N147" s="23">
        <f>0.1*D147/60</f>
        <v>0.1</v>
      </c>
      <c r="O147" s="23">
        <f>26.61*D147/60</f>
        <v>26.61</v>
      </c>
      <c r="P147" s="23">
        <f>25.64*D147/60</f>
        <v>25.64</v>
      </c>
      <c r="Q147" s="23">
        <f>0.43*D147/60</f>
        <v>0.43</v>
      </c>
      <c r="R147" s="25">
        <f>0.01*D147/60</f>
        <v>0.01</v>
      </c>
      <c r="S147" s="61">
        <f>12.87*D147/60</f>
        <v>12.87</v>
      </c>
      <c r="T147" s="23">
        <f>0.84*D147/60</f>
        <v>0.84</v>
      </c>
    </row>
    <row r="148" spans="1:20" s="6" customFormat="1" ht="21.75" customHeight="1">
      <c r="A148" s="88">
        <v>106</v>
      </c>
      <c r="B148" s="167" t="s">
        <v>89</v>
      </c>
      <c r="C148" s="167"/>
      <c r="D148" s="89">
        <v>250</v>
      </c>
      <c r="E148" s="22">
        <v>19.14</v>
      </c>
      <c r="F148" s="22">
        <v>14.5</v>
      </c>
      <c r="G148" s="22">
        <v>15.4</v>
      </c>
      <c r="H148" s="22">
        <v>33.1</v>
      </c>
      <c r="I148" s="22">
        <v>329</v>
      </c>
      <c r="J148" s="22">
        <v>0.21</v>
      </c>
      <c r="K148" s="22">
        <v>0.15</v>
      </c>
      <c r="L148" s="22">
        <v>0.41</v>
      </c>
      <c r="M148" s="22">
        <v>0.02</v>
      </c>
      <c r="N148" s="90">
        <v>0.067</v>
      </c>
      <c r="O148" s="22">
        <v>42.66</v>
      </c>
      <c r="P148" s="22">
        <v>161</v>
      </c>
      <c r="Q148" s="22">
        <v>1.88</v>
      </c>
      <c r="R148" s="22">
        <v>0.05</v>
      </c>
      <c r="S148" s="22">
        <v>24.6</v>
      </c>
      <c r="T148" s="22">
        <v>1.77</v>
      </c>
    </row>
    <row r="149" spans="1:20" s="6" customFormat="1" ht="12.75" customHeight="1">
      <c r="A149" s="17">
        <v>295</v>
      </c>
      <c r="B149" s="152" t="s">
        <v>90</v>
      </c>
      <c r="C149" s="152"/>
      <c r="D149" s="26">
        <v>80</v>
      </c>
      <c r="E149" s="23">
        <v>30.85</v>
      </c>
      <c r="F149" s="93">
        <v>12.192</v>
      </c>
      <c r="G149" s="103">
        <v>4.64</v>
      </c>
      <c r="H149" s="103">
        <v>8.128</v>
      </c>
      <c r="I149" s="93">
        <v>250</v>
      </c>
      <c r="J149" s="94">
        <v>0.072</v>
      </c>
      <c r="K149" s="93">
        <v>0.064</v>
      </c>
      <c r="L149" s="93">
        <v>0.192</v>
      </c>
      <c r="M149" s="94">
        <v>0.0008</v>
      </c>
      <c r="N149" s="94">
        <v>0.0592</v>
      </c>
      <c r="O149" s="103">
        <v>11.223999999999998</v>
      </c>
      <c r="P149" s="103">
        <v>75.18400000000001</v>
      </c>
      <c r="Q149" s="93">
        <v>0.9359999999999999</v>
      </c>
      <c r="R149" s="104">
        <v>0.032</v>
      </c>
      <c r="S149" s="103">
        <v>12.991999999999997</v>
      </c>
      <c r="T149" s="93">
        <v>1.5119999999999998</v>
      </c>
    </row>
    <row r="150" spans="1:20" s="6" customFormat="1" ht="15.75" customHeight="1">
      <c r="A150" s="88">
        <v>139</v>
      </c>
      <c r="B150" s="163" t="s">
        <v>91</v>
      </c>
      <c r="C150" s="163"/>
      <c r="D150" s="92">
        <v>200</v>
      </c>
      <c r="E150" s="22">
        <v>12.34</v>
      </c>
      <c r="F150" s="22">
        <v>3.69</v>
      </c>
      <c r="G150" s="22">
        <v>6.45</v>
      </c>
      <c r="H150" s="22">
        <v>14.37</v>
      </c>
      <c r="I150" s="22">
        <v>130.35</v>
      </c>
      <c r="J150" s="22">
        <v>0.86</v>
      </c>
      <c r="K150" s="22">
        <v>0.18</v>
      </c>
      <c r="L150" s="89">
        <v>0.16</v>
      </c>
      <c r="M150" s="22">
        <v>0.0333333</v>
      </c>
      <c r="N150" s="90">
        <v>0.01</v>
      </c>
      <c r="O150" s="22">
        <v>97.4</v>
      </c>
      <c r="P150" s="22">
        <v>72</v>
      </c>
      <c r="Q150" s="91">
        <v>3.5</v>
      </c>
      <c r="R150" s="90">
        <v>0.017</v>
      </c>
      <c r="S150" s="22">
        <v>37</v>
      </c>
      <c r="T150" s="22">
        <v>1.45</v>
      </c>
    </row>
    <row r="151" spans="1:20" s="6" customFormat="1" ht="25.5" customHeight="1">
      <c r="A151" s="17">
        <v>345</v>
      </c>
      <c r="B151" s="152" t="s">
        <v>65</v>
      </c>
      <c r="C151" s="152"/>
      <c r="D151" s="24">
        <v>200</v>
      </c>
      <c r="E151" s="23">
        <v>5.5</v>
      </c>
      <c r="F151" s="29">
        <v>0.06</v>
      </c>
      <c r="G151" s="29">
        <v>0.02</v>
      </c>
      <c r="H151" s="29">
        <v>20.73</v>
      </c>
      <c r="I151" s="29">
        <v>83.34</v>
      </c>
      <c r="J151" s="30">
        <v>0</v>
      </c>
      <c r="K151" s="30">
        <v>0</v>
      </c>
      <c r="L151" s="31">
        <v>2.5</v>
      </c>
      <c r="M151" s="30">
        <v>0.004</v>
      </c>
      <c r="N151" s="30">
        <v>0.2</v>
      </c>
      <c r="O151" s="31">
        <v>4</v>
      </c>
      <c r="P151" s="31">
        <v>3.3</v>
      </c>
      <c r="Q151" s="31">
        <v>0.08</v>
      </c>
      <c r="R151" s="31">
        <v>0.001</v>
      </c>
      <c r="S151" s="31">
        <v>1.7</v>
      </c>
      <c r="T151" s="29">
        <v>0.15</v>
      </c>
    </row>
    <row r="152" spans="1:20" s="6" customFormat="1" ht="11.25" customHeight="1">
      <c r="A152" s="59" t="s">
        <v>30</v>
      </c>
      <c r="B152" s="152" t="s">
        <v>43</v>
      </c>
      <c r="C152" s="152"/>
      <c r="D152" s="24">
        <v>50</v>
      </c>
      <c r="E152" s="23">
        <v>2.35</v>
      </c>
      <c r="F152" s="23">
        <f>2.64*D152/40</f>
        <v>3.3</v>
      </c>
      <c r="G152" s="23">
        <f>0.48*D152/40</f>
        <v>0.6</v>
      </c>
      <c r="H152" s="23">
        <f>13.68*D152/40</f>
        <v>17.1</v>
      </c>
      <c r="I152" s="61">
        <f>F152*4+G152*9+H152*4</f>
        <v>87</v>
      </c>
      <c r="J152" s="26">
        <f>0.08*D152/40</f>
        <v>0.1</v>
      </c>
      <c r="K152" s="23">
        <f>0.04*D152/40</f>
        <v>0.05</v>
      </c>
      <c r="L152" s="24">
        <v>0</v>
      </c>
      <c r="M152" s="24">
        <v>0</v>
      </c>
      <c r="N152" s="23">
        <f>2.4*D152/40</f>
        <v>3</v>
      </c>
      <c r="O152" s="23">
        <f>14*D152/40</f>
        <v>17.5</v>
      </c>
      <c r="P152" s="23">
        <f>63.2*D152/40</f>
        <v>79</v>
      </c>
      <c r="Q152" s="23">
        <f>1.2*D152/40</f>
        <v>1.5</v>
      </c>
      <c r="R152" s="25">
        <f>0.001*D152/40</f>
        <v>0.00125</v>
      </c>
      <c r="S152" s="23">
        <f>9.4*D152/40</f>
        <v>11.75</v>
      </c>
      <c r="T152" s="26">
        <f>0.78*D152/40</f>
        <v>0.975</v>
      </c>
    </row>
    <row r="153" spans="1:20" s="6" customFormat="1" ht="11.25" customHeight="1">
      <c r="A153" s="77" t="s">
        <v>30</v>
      </c>
      <c r="B153" s="152" t="s">
        <v>33</v>
      </c>
      <c r="C153" s="152"/>
      <c r="D153" s="24">
        <v>10</v>
      </c>
      <c r="E153" s="23">
        <v>5.1</v>
      </c>
      <c r="F153" s="33">
        <v>0.65</v>
      </c>
      <c r="G153" s="34">
        <v>3.8</v>
      </c>
      <c r="H153" s="35">
        <v>17.6</v>
      </c>
      <c r="I153" s="33">
        <v>38</v>
      </c>
      <c r="J153" s="33">
        <v>0.026</v>
      </c>
      <c r="K153" s="33">
        <v>0.03</v>
      </c>
      <c r="L153" s="33">
        <v>0.13</v>
      </c>
      <c r="M153" s="33">
        <v>11.96</v>
      </c>
      <c r="N153" s="34">
        <v>0.39</v>
      </c>
      <c r="O153" s="33">
        <v>24.18</v>
      </c>
      <c r="P153" s="33">
        <v>49.4</v>
      </c>
      <c r="Q153" s="36">
        <v>0.2</v>
      </c>
      <c r="R153" s="33">
        <v>0.002</v>
      </c>
      <c r="S153" s="33">
        <v>18.72</v>
      </c>
      <c r="T153" s="33">
        <v>0.182</v>
      </c>
    </row>
    <row r="154" spans="1:20" s="6" customFormat="1" ht="11.25" customHeight="1">
      <c r="A154" s="62" t="s">
        <v>45</v>
      </c>
      <c r="B154" s="63"/>
      <c r="C154" s="63"/>
      <c r="D154" s="39">
        <f>SUM(D147:D153)</f>
        <v>850</v>
      </c>
      <c r="E154" s="40">
        <f>SUM(E147:E153)</f>
        <v>79.99999999999999</v>
      </c>
      <c r="F154" s="41">
        <f>SUM(F147:F153)</f>
        <v>35.251999999999995</v>
      </c>
      <c r="G154" s="41">
        <f aca="true" t="shared" si="34" ref="G154:T154">SUM(G147:G153)</f>
        <v>33.96</v>
      </c>
      <c r="H154" s="41">
        <f t="shared" si="34"/>
        <v>116.15799999999999</v>
      </c>
      <c r="I154" s="41">
        <f t="shared" si="34"/>
        <v>969.1</v>
      </c>
      <c r="J154" s="41">
        <f t="shared" si="34"/>
        <v>1.278</v>
      </c>
      <c r="K154" s="41">
        <f t="shared" si="34"/>
        <v>0.494</v>
      </c>
      <c r="L154" s="41">
        <f t="shared" si="34"/>
        <v>9.092</v>
      </c>
      <c r="M154" s="41">
        <f t="shared" si="34"/>
        <v>12.0281333</v>
      </c>
      <c r="N154" s="41">
        <f t="shared" si="34"/>
        <v>3.8262</v>
      </c>
      <c r="O154" s="41">
        <f t="shared" si="34"/>
        <v>223.574</v>
      </c>
      <c r="P154" s="41">
        <f t="shared" si="34"/>
        <v>465.524</v>
      </c>
      <c r="Q154" s="41">
        <f t="shared" si="34"/>
        <v>8.526</v>
      </c>
      <c r="R154" s="41">
        <f t="shared" si="34"/>
        <v>0.11325</v>
      </c>
      <c r="S154" s="41">
        <f t="shared" si="34"/>
        <v>119.63199999999999</v>
      </c>
      <c r="T154" s="41">
        <f t="shared" si="34"/>
        <v>6.8790000000000004</v>
      </c>
    </row>
    <row r="155" spans="1:20" s="6" customFormat="1" ht="11.25" customHeight="1">
      <c r="A155" s="161" t="s">
        <v>35</v>
      </c>
      <c r="B155" s="161"/>
      <c r="C155" s="161"/>
      <c r="D155" s="161"/>
      <c r="E155" s="80"/>
      <c r="F155" s="87">
        <f aca="true" t="shared" si="35" ref="F155:T155">F154/F162</f>
        <v>0.39168888888888886</v>
      </c>
      <c r="G155" s="66">
        <f t="shared" si="35"/>
        <v>0.3691304347826087</v>
      </c>
      <c r="H155" s="66">
        <f t="shared" si="35"/>
        <v>0.3032845953002611</v>
      </c>
      <c r="I155" s="66">
        <f t="shared" si="35"/>
        <v>0.3562867647058824</v>
      </c>
      <c r="J155" s="66">
        <f t="shared" si="35"/>
        <v>0.9128571428571429</v>
      </c>
      <c r="K155" s="66">
        <f t="shared" si="35"/>
        <v>0.30874999999999997</v>
      </c>
      <c r="L155" s="66">
        <f t="shared" si="35"/>
        <v>0.1298857142857143</v>
      </c>
      <c r="M155" s="66">
        <f t="shared" si="35"/>
        <v>13.364592555555555</v>
      </c>
      <c r="N155" s="66">
        <f t="shared" si="35"/>
        <v>0.31885</v>
      </c>
      <c r="O155" s="66">
        <f t="shared" si="35"/>
        <v>0.18631166666666668</v>
      </c>
      <c r="P155" s="66">
        <f t="shared" si="35"/>
        <v>0.38793666666666665</v>
      </c>
      <c r="Q155" s="66">
        <f t="shared" si="35"/>
        <v>0.609</v>
      </c>
      <c r="R155" s="66">
        <f t="shared" si="35"/>
        <v>1.1325</v>
      </c>
      <c r="S155" s="66">
        <f t="shared" si="35"/>
        <v>0.3987733333333333</v>
      </c>
      <c r="T155" s="67">
        <f t="shared" si="35"/>
        <v>0.3821666666666667</v>
      </c>
    </row>
    <row r="156" spans="1:20" s="6" customFormat="1" ht="11.25" customHeight="1">
      <c r="A156" s="151" t="s">
        <v>46</v>
      </c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</row>
    <row r="157" spans="1:20" s="6" customFormat="1" ht="12" customHeight="1">
      <c r="A157" s="17">
        <v>403</v>
      </c>
      <c r="B157" s="152" t="s">
        <v>92</v>
      </c>
      <c r="C157" s="152"/>
      <c r="D157" s="24">
        <v>120</v>
      </c>
      <c r="E157" s="23">
        <v>26.4</v>
      </c>
      <c r="F157" s="23">
        <f>10.7*D157/165</f>
        <v>7.781818181818182</v>
      </c>
      <c r="G157" s="61">
        <f>11.23*D157/165</f>
        <v>8.167272727272728</v>
      </c>
      <c r="H157" s="61">
        <f>68.44*D157/165</f>
        <v>49.77454545454545</v>
      </c>
      <c r="I157" s="23">
        <f>F157*4+G157*9+H157*4</f>
        <v>303.7309090909091</v>
      </c>
      <c r="J157" s="23">
        <v>0.138</v>
      </c>
      <c r="K157" s="23">
        <v>0.15</v>
      </c>
      <c r="L157" s="23">
        <f>1.61*D157/165</f>
        <v>1.1709090909090911</v>
      </c>
      <c r="M157" s="26">
        <v>0.075</v>
      </c>
      <c r="N157" s="61">
        <v>1.5</v>
      </c>
      <c r="O157" s="23">
        <f>119*D157/165</f>
        <v>86.54545454545455</v>
      </c>
      <c r="P157" s="23">
        <v>87.25</v>
      </c>
      <c r="Q157" s="23">
        <v>2.125</v>
      </c>
      <c r="R157" s="25">
        <v>0.013</v>
      </c>
      <c r="S157" s="23">
        <f>47.7*D157/165</f>
        <v>34.69090909090909</v>
      </c>
      <c r="T157" s="23">
        <f>2.3*D157/165</f>
        <v>1.6727272727272726</v>
      </c>
    </row>
    <row r="158" spans="1:20" s="6" customFormat="1" ht="12" customHeight="1">
      <c r="A158" s="34">
        <v>377</v>
      </c>
      <c r="B158" s="148" t="s">
        <v>48</v>
      </c>
      <c r="C158" s="148"/>
      <c r="D158" s="58">
        <v>200</v>
      </c>
      <c r="E158" s="29">
        <v>3.6</v>
      </c>
      <c r="F158" s="128">
        <v>0.26</v>
      </c>
      <c r="G158" s="128">
        <v>0.06</v>
      </c>
      <c r="H158" s="128">
        <v>15.22</v>
      </c>
      <c r="I158" s="128">
        <v>62.46</v>
      </c>
      <c r="J158" s="128">
        <v>0</v>
      </c>
      <c r="K158" s="128">
        <v>0.01</v>
      </c>
      <c r="L158" s="128">
        <v>2.9</v>
      </c>
      <c r="M158" s="129">
        <v>0</v>
      </c>
      <c r="N158" s="128">
        <v>0.06</v>
      </c>
      <c r="O158" s="128">
        <v>8.05</v>
      </c>
      <c r="P158" s="128">
        <v>9.78</v>
      </c>
      <c r="Q158" s="128">
        <v>0.017</v>
      </c>
      <c r="R158" s="133">
        <v>0</v>
      </c>
      <c r="S158" s="128">
        <v>5.24</v>
      </c>
      <c r="T158" s="128">
        <v>0.87</v>
      </c>
    </row>
    <row r="159" spans="1:20" s="9" customFormat="1" ht="11.25" customHeight="1">
      <c r="A159" s="62" t="s">
        <v>49</v>
      </c>
      <c r="B159" s="63"/>
      <c r="C159" s="63"/>
      <c r="D159" s="39">
        <v>320</v>
      </c>
      <c r="E159" s="40">
        <f>SUM(E157:E158)</f>
        <v>30</v>
      </c>
      <c r="F159" s="41">
        <f>SUM(F157:F158)</f>
        <v>8.041818181818183</v>
      </c>
      <c r="G159" s="41">
        <f aca="true" t="shared" si="36" ref="G159:T159">SUM(G157:G158)</f>
        <v>8.227272727272728</v>
      </c>
      <c r="H159" s="41">
        <f t="shared" si="36"/>
        <v>64.99454545454546</v>
      </c>
      <c r="I159" s="41">
        <f t="shared" si="36"/>
        <v>366.1909090909091</v>
      </c>
      <c r="J159" s="41">
        <f t="shared" si="36"/>
        <v>0.138</v>
      </c>
      <c r="K159" s="41">
        <f t="shared" si="36"/>
        <v>0.16</v>
      </c>
      <c r="L159" s="41">
        <f t="shared" si="36"/>
        <v>4.070909090909091</v>
      </c>
      <c r="M159" s="41">
        <f t="shared" si="36"/>
        <v>0.075</v>
      </c>
      <c r="N159" s="41">
        <f t="shared" si="36"/>
        <v>1.56</v>
      </c>
      <c r="O159" s="41">
        <f t="shared" si="36"/>
        <v>94.59545454545454</v>
      </c>
      <c r="P159" s="41">
        <f t="shared" si="36"/>
        <v>97.03</v>
      </c>
      <c r="Q159" s="41">
        <f t="shared" si="36"/>
        <v>2.142</v>
      </c>
      <c r="R159" s="41">
        <f t="shared" si="36"/>
        <v>0.013</v>
      </c>
      <c r="S159" s="41">
        <f t="shared" si="36"/>
        <v>39.93090909090909</v>
      </c>
      <c r="T159" s="41">
        <f t="shared" si="36"/>
        <v>2.5427272727272725</v>
      </c>
    </row>
    <row r="160" spans="1:20" s="9" customFormat="1" ht="11.25" customHeight="1">
      <c r="A160" s="161" t="s">
        <v>35</v>
      </c>
      <c r="B160" s="161"/>
      <c r="C160" s="161"/>
      <c r="D160" s="161"/>
      <c r="E160" s="44"/>
      <c r="F160" s="41">
        <f aca="true" t="shared" si="37" ref="F160:T160">F159/F162</f>
        <v>0.08935353535353537</v>
      </c>
      <c r="G160" s="67">
        <f t="shared" si="37"/>
        <v>0.08942687747035574</v>
      </c>
      <c r="H160" s="67">
        <f t="shared" si="37"/>
        <v>0.1696985521006409</v>
      </c>
      <c r="I160" s="67">
        <f t="shared" si="37"/>
        <v>0.13462901069518715</v>
      </c>
      <c r="J160" s="67">
        <f t="shared" si="37"/>
        <v>0.09857142857142859</v>
      </c>
      <c r="K160" s="67">
        <f t="shared" si="37"/>
        <v>0.09999999999999999</v>
      </c>
      <c r="L160" s="67">
        <f t="shared" si="37"/>
        <v>0.05815584415584416</v>
      </c>
      <c r="M160" s="67">
        <f t="shared" si="37"/>
        <v>0.08333333333333333</v>
      </c>
      <c r="N160" s="67">
        <f t="shared" si="37"/>
        <v>0.13</v>
      </c>
      <c r="O160" s="67">
        <f t="shared" si="37"/>
        <v>0.07882954545454546</v>
      </c>
      <c r="P160" s="67">
        <f t="shared" si="37"/>
        <v>0.08085833333333334</v>
      </c>
      <c r="Q160" s="67">
        <f t="shared" si="37"/>
        <v>0.153</v>
      </c>
      <c r="R160" s="67">
        <f t="shared" si="37"/>
        <v>0.12999999999999998</v>
      </c>
      <c r="S160" s="67">
        <f t="shared" si="37"/>
        <v>0.1331030303030303</v>
      </c>
      <c r="T160" s="67">
        <f t="shared" si="37"/>
        <v>0.14126262626262626</v>
      </c>
    </row>
    <row r="161" spans="1:20" s="9" customFormat="1" ht="11.25" customHeight="1">
      <c r="A161" s="157" t="s">
        <v>50</v>
      </c>
      <c r="B161" s="157"/>
      <c r="C161" s="157"/>
      <c r="D161" s="157"/>
      <c r="E161" s="44"/>
      <c r="F161" s="41">
        <f aca="true" t="shared" si="38" ref="F161:T161">SUM(F144,F154,F159)</f>
        <v>60.523818181818186</v>
      </c>
      <c r="G161" s="42">
        <f t="shared" si="38"/>
        <v>61.95727272727272</v>
      </c>
      <c r="H161" s="42">
        <f t="shared" si="38"/>
        <v>202.17254545454546</v>
      </c>
      <c r="I161" s="42">
        <f t="shared" si="38"/>
        <v>1666.240909090909</v>
      </c>
      <c r="J161" s="41">
        <f t="shared" si="38"/>
        <v>1.5465</v>
      </c>
      <c r="K161" s="41">
        <f t="shared" si="38"/>
        <v>0.9600000000000001</v>
      </c>
      <c r="L161" s="42">
        <f t="shared" si="38"/>
        <v>21.263409090909093</v>
      </c>
      <c r="M161" s="41">
        <f t="shared" si="38"/>
        <v>12.3241333</v>
      </c>
      <c r="N161" s="41">
        <f t="shared" si="38"/>
        <v>8.3362</v>
      </c>
      <c r="O161" s="42">
        <f t="shared" si="38"/>
        <v>487.39945454545455</v>
      </c>
      <c r="P161" s="42">
        <f t="shared" si="38"/>
        <v>846.0139999999999</v>
      </c>
      <c r="Q161" s="41">
        <f t="shared" si="38"/>
        <v>12.254999999999999</v>
      </c>
      <c r="R161" s="43">
        <f t="shared" si="38"/>
        <v>0.16275</v>
      </c>
      <c r="S161" s="41">
        <f t="shared" si="38"/>
        <v>192.15290909090908</v>
      </c>
      <c r="T161" s="41">
        <f t="shared" si="38"/>
        <v>12.031727272727274</v>
      </c>
    </row>
    <row r="162" spans="1:20" s="9" customFormat="1" ht="11.25" customHeight="1">
      <c r="A162" s="157" t="s">
        <v>51</v>
      </c>
      <c r="B162" s="157"/>
      <c r="C162" s="157"/>
      <c r="D162" s="157"/>
      <c r="E162" s="44"/>
      <c r="F162" s="23">
        <v>90</v>
      </c>
      <c r="G162" s="61">
        <v>92</v>
      </c>
      <c r="H162" s="61">
        <v>383</v>
      </c>
      <c r="I162" s="61">
        <v>2720</v>
      </c>
      <c r="J162" s="23">
        <v>1.4</v>
      </c>
      <c r="K162" s="23">
        <v>1.6</v>
      </c>
      <c r="L162" s="24">
        <v>70</v>
      </c>
      <c r="M162" s="23">
        <v>0.9</v>
      </c>
      <c r="N162" s="24">
        <v>12</v>
      </c>
      <c r="O162" s="24">
        <v>1200</v>
      </c>
      <c r="P162" s="24">
        <v>1200</v>
      </c>
      <c r="Q162" s="24">
        <v>14</v>
      </c>
      <c r="R162" s="61">
        <v>0.1</v>
      </c>
      <c r="S162" s="24">
        <v>300</v>
      </c>
      <c r="T162" s="23">
        <v>18</v>
      </c>
    </row>
    <row r="163" spans="1:20" s="9" customFormat="1" ht="11.25" customHeight="1">
      <c r="A163" s="161" t="s">
        <v>35</v>
      </c>
      <c r="B163" s="161"/>
      <c r="C163" s="161"/>
      <c r="D163" s="161"/>
      <c r="E163" s="44"/>
      <c r="F163" s="66">
        <f aca="true" t="shared" si="39" ref="F163:T163">F161/F162</f>
        <v>0.6724868686868687</v>
      </c>
      <c r="G163" s="67">
        <f t="shared" si="39"/>
        <v>0.6734486166007905</v>
      </c>
      <c r="H163" s="67">
        <f t="shared" si="39"/>
        <v>0.5278656539283171</v>
      </c>
      <c r="I163" s="67">
        <f t="shared" si="39"/>
        <v>0.6125885695187165</v>
      </c>
      <c r="J163" s="67">
        <f t="shared" si="39"/>
        <v>1.1046428571428573</v>
      </c>
      <c r="K163" s="67">
        <f t="shared" si="39"/>
        <v>0.6</v>
      </c>
      <c r="L163" s="67">
        <f t="shared" si="39"/>
        <v>0.30376298701298704</v>
      </c>
      <c r="M163" s="68">
        <f t="shared" si="39"/>
        <v>13.693481444444444</v>
      </c>
      <c r="N163" s="67">
        <f t="shared" si="39"/>
        <v>0.6946833333333333</v>
      </c>
      <c r="O163" s="67">
        <f t="shared" si="39"/>
        <v>0.4061662121212121</v>
      </c>
      <c r="P163" s="67">
        <f t="shared" si="39"/>
        <v>0.7050116666666666</v>
      </c>
      <c r="Q163" s="67">
        <f t="shared" si="39"/>
        <v>0.8753571428571428</v>
      </c>
      <c r="R163" s="68">
        <f t="shared" si="39"/>
        <v>1.6275</v>
      </c>
      <c r="S163" s="67">
        <f t="shared" si="39"/>
        <v>0.640509696969697</v>
      </c>
      <c r="T163" s="68">
        <f t="shared" si="39"/>
        <v>0.668429292929293</v>
      </c>
    </row>
    <row r="164" spans="1:20" s="9" customFormat="1" ht="11.25" customHeight="1">
      <c r="A164" s="4"/>
      <c r="B164" s="5"/>
      <c r="C164" s="5"/>
      <c r="D164" s="6"/>
      <c r="E164" s="7"/>
      <c r="F164" s="7"/>
      <c r="G164" s="6"/>
      <c r="H164" s="6"/>
      <c r="I164" s="6"/>
      <c r="J164" s="6"/>
      <c r="K164" s="6"/>
      <c r="L164" s="6"/>
      <c r="M164" s="143" t="s">
        <v>0</v>
      </c>
      <c r="N164" s="143"/>
      <c r="O164" s="143"/>
      <c r="P164" s="143"/>
      <c r="Q164" s="143"/>
      <c r="R164" s="143"/>
      <c r="S164" s="143"/>
      <c r="T164" s="143"/>
    </row>
    <row r="165" spans="1:20" s="6" customFormat="1" ht="11.25" customHeight="1">
      <c r="A165" s="158" t="s">
        <v>93</v>
      </c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</row>
    <row r="166" spans="1:17" s="6" customFormat="1" ht="11.25" customHeight="1">
      <c r="A166" s="10" t="s">
        <v>2</v>
      </c>
      <c r="B166" s="5"/>
      <c r="C166" s="5"/>
      <c r="D166" s="8"/>
      <c r="E166" s="11"/>
      <c r="F166" s="7"/>
      <c r="G166" s="145" t="s">
        <v>3</v>
      </c>
      <c r="H166" s="145"/>
      <c r="I166" s="145"/>
      <c r="L166" s="146"/>
      <c r="M166" s="146"/>
      <c r="N166" s="147"/>
      <c r="O166" s="147"/>
      <c r="P166" s="147"/>
      <c r="Q166" s="147"/>
    </row>
    <row r="167" spans="1:20" s="6" customFormat="1" ht="11.25" customHeight="1">
      <c r="A167" s="5"/>
      <c r="B167" s="5"/>
      <c r="C167" s="5"/>
      <c r="D167" s="162" t="s">
        <v>4</v>
      </c>
      <c r="E167" s="162"/>
      <c r="F167" s="162"/>
      <c r="G167" s="12">
        <v>2</v>
      </c>
      <c r="I167" s="8"/>
      <c r="J167" s="8"/>
      <c r="K167" s="8"/>
      <c r="L167" s="162"/>
      <c r="M167" s="162"/>
      <c r="N167" s="145"/>
      <c r="O167" s="145"/>
      <c r="P167" s="145"/>
      <c r="Q167" s="145"/>
      <c r="R167" s="145"/>
      <c r="S167" s="145"/>
      <c r="T167" s="145"/>
    </row>
    <row r="168" spans="1:20" s="6" customFormat="1" ht="21.75" customHeight="1">
      <c r="A168" s="149" t="s">
        <v>54</v>
      </c>
      <c r="B168" s="149" t="s">
        <v>55</v>
      </c>
      <c r="C168" s="149"/>
      <c r="D168" s="149" t="s">
        <v>7</v>
      </c>
      <c r="E168" s="85"/>
      <c r="F168" s="149" t="s">
        <v>8</v>
      </c>
      <c r="G168" s="149"/>
      <c r="H168" s="149"/>
      <c r="I168" s="149" t="s">
        <v>9</v>
      </c>
      <c r="J168" s="149" t="s">
        <v>10</v>
      </c>
      <c r="K168" s="149"/>
      <c r="L168" s="149"/>
      <c r="M168" s="149"/>
      <c r="N168" s="149"/>
      <c r="O168" s="149" t="s">
        <v>11</v>
      </c>
      <c r="P168" s="149"/>
      <c r="Q168" s="149"/>
      <c r="R168" s="149"/>
      <c r="S168" s="149"/>
      <c r="T168" s="149"/>
    </row>
    <row r="169" spans="1:20" s="6" customFormat="1" ht="21" customHeight="1">
      <c r="A169" s="149"/>
      <c r="B169" s="149"/>
      <c r="C169" s="149"/>
      <c r="D169" s="149"/>
      <c r="E169" s="15"/>
      <c r="F169" s="16" t="s">
        <v>12</v>
      </c>
      <c r="G169" s="13" t="s">
        <v>13</v>
      </c>
      <c r="H169" s="13" t="s">
        <v>14</v>
      </c>
      <c r="I169" s="149"/>
      <c r="J169" s="13" t="s">
        <v>15</v>
      </c>
      <c r="K169" s="13" t="s">
        <v>16</v>
      </c>
      <c r="L169" s="13" t="s">
        <v>17</v>
      </c>
      <c r="M169" s="13" t="s">
        <v>18</v>
      </c>
      <c r="N169" s="13" t="s">
        <v>19</v>
      </c>
      <c r="O169" s="13" t="s">
        <v>20</v>
      </c>
      <c r="P169" s="13" t="s">
        <v>21</v>
      </c>
      <c r="Q169" s="13" t="s">
        <v>22</v>
      </c>
      <c r="R169" s="13" t="s">
        <v>23</v>
      </c>
      <c r="S169" s="13" t="s">
        <v>24</v>
      </c>
      <c r="T169" s="13" t="s">
        <v>25</v>
      </c>
    </row>
    <row r="170" spans="1:20" s="6" customFormat="1" ht="11.25" customHeight="1">
      <c r="A170" s="17">
        <v>1</v>
      </c>
      <c r="B170" s="150">
        <v>2</v>
      </c>
      <c r="C170" s="150"/>
      <c r="D170" s="18">
        <v>3</v>
      </c>
      <c r="E170" s="19"/>
      <c r="F170" s="19">
        <v>4</v>
      </c>
      <c r="G170" s="18">
        <v>5</v>
      </c>
      <c r="H170" s="18">
        <v>6</v>
      </c>
      <c r="I170" s="18">
        <v>7</v>
      </c>
      <c r="J170" s="18">
        <v>8</v>
      </c>
      <c r="K170" s="18">
        <v>9</v>
      </c>
      <c r="L170" s="18">
        <v>10</v>
      </c>
      <c r="M170" s="18">
        <v>11</v>
      </c>
      <c r="N170" s="18">
        <v>12</v>
      </c>
      <c r="O170" s="18">
        <v>13</v>
      </c>
      <c r="P170" s="18">
        <v>14</v>
      </c>
      <c r="Q170" s="18">
        <v>15</v>
      </c>
      <c r="R170" s="18">
        <v>16</v>
      </c>
      <c r="S170" s="18">
        <v>17</v>
      </c>
      <c r="T170" s="18">
        <v>18</v>
      </c>
    </row>
    <row r="171" spans="1:20" s="6" customFormat="1" ht="11.25" customHeight="1">
      <c r="A171" s="151" t="s">
        <v>26</v>
      </c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</row>
    <row r="172" spans="1:20" s="6" customFormat="1" ht="11.25" customHeight="1">
      <c r="A172" s="141" t="s">
        <v>30</v>
      </c>
      <c r="B172" s="153" t="s">
        <v>99</v>
      </c>
      <c r="C172" s="153"/>
      <c r="D172" s="129">
        <v>18</v>
      </c>
      <c r="E172" s="128">
        <v>2.79</v>
      </c>
      <c r="F172" s="128">
        <v>0.44000000000000006</v>
      </c>
      <c r="G172" s="128">
        <v>0.08</v>
      </c>
      <c r="H172" s="128">
        <v>1.52</v>
      </c>
      <c r="I172" s="128">
        <v>8.56</v>
      </c>
      <c r="J172" s="133">
        <v>0.027000000000000003</v>
      </c>
      <c r="K172" s="133">
        <v>0.032</v>
      </c>
      <c r="L172" s="128">
        <v>9.733</v>
      </c>
      <c r="M172" s="128">
        <v>0.36</v>
      </c>
      <c r="N172" s="129">
        <v>1.8799999999999997</v>
      </c>
      <c r="O172" s="130">
        <v>24.4</v>
      </c>
      <c r="P172" s="130">
        <v>30.360000000000003</v>
      </c>
      <c r="Q172" s="128">
        <v>0.28</v>
      </c>
      <c r="R172" s="133">
        <v>0.005</v>
      </c>
      <c r="S172" s="128">
        <v>10.2</v>
      </c>
      <c r="T172" s="128">
        <v>0.4</v>
      </c>
    </row>
    <row r="173" spans="1:20" s="6" customFormat="1" ht="21.75" customHeight="1">
      <c r="A173" s="17">
        <v>591</v>
      </c>
      <c r="B173" s="155" t="s">
        <v>120</v>
      </c>
      <c r="C173" s="156"/>
      <c r="D173" s="56" t="s">
        <v>121</v>
      </c>
      <c r="E173" s="23">
        <v>36.71</v>
      </c>
      <c r="F173" s="23">
        <v>5.86</v>
      </c>
      <c r="G173" s="23">
        <v>16.31</v>
      </c>
      <c r="H173" s="23">
        <v>3.07</v>
      </c>
      <c r="I173" s="23">
        <v>182.51</v>
      </c>
      <c r="J173" s="23">
        <v>0.14</v>
      </c>
      <c r="K173" s="23">
        <v>0.05</v>
      </c>
      <c r="L173" s="23">
        <v>0.09</v>
      </c>
      <c r="M173" s="25">
        <v>0</v>
      </c>
      <c r="N173" s="26">
        <v>0</v>
      </c>
      <c r="O173" s="23">
        <v>9.54</v>
      </c>
      <c r="P173" s="23">
        <v>63.38</v>
      </c>
      <c r="Q173" s="24">
        <v>1.12</v>
      </c>
      <c r="R173" s="25">
        <v>2.55</v>
      </c>
      <c r="S173" s="23">
        <v>11.3</v>
      </c>
      <c r="T173" s="23">
        <v>0.75</v>
      </c>
    </row>
    <row r="174" spans="1:20" s="6" customFormat="1" ht="11.25" customHeight="1">
      <c r="A174" s="141">
        <v>202</v>
      </c>
      <c r="B174" s="153" t="s">
        <v>41</v>
      </c>
      <c r="C174" s="153"/>
      <c r="D174" s="134">
        <v>180</v>
      </c>
      <c r="E174" s="128">
        <v>7.93</v>
      </c>
      <c r="F174" s="29">
        <v>6.84</v>
      </c>
      <c r="G174" s="29">
        <v>4.116</v>
      </c>
      <c r="H174" s="29">
        <v>43.74</v>
      </c>
      <c r="I174" s="29">
        <v>239.364</v>
      </c>
      <c r="J174" s="29">
        <v>0.108</v>
      </c>
      <c r="K174" s="29">
        <v>0.036</v>
      </c>
      <c r="L174" s="29">
        <v>0</v>
      </c>
      <c r="M174" s="57">
        <v>0.036</v>
      </c>
      <c r="N174" s="29">
        <v>1.5</v>
      </c>
      <c r="O174" s="29">
        <v>15.936</v>
      </c>
      <c r="P174" s="29">
        <v>55.452</v>
      </c>
      <c r="Q174" s="29">
        <v>0.936</v>
      </c>
      <c r="R174" s="57">
        <v>0.002</v>
      </c>
      <c r="S174" s="29">
        <v>10.164</v>
      </c>
      <c r="T174" s="29">
        <v>1.032</v>
      </c>
    </row>
    <row r="175" spans="1:20" s="6" customFormat="1" ht="13.5" customHeight="1">
      <c r="A175" s="132">
        <v>377</v>
      </c>
      <c r="B175" s="153" t="s">
        <v>48</v>
      </c>
      <c r="C175" s="153"/>
      <c r="D175" s="134">
        <v>200</v>
      </c>
      <c r="E175" s="128">
        <v>3.6</v>
      </c>
      <c r="F175" s="128">
        <v>0.26</v>
      </c>
      <c r="G175" s="128">
        <v>0.06</v>
      </c>
      <c r="H175" s="128">
        <v>15.22</v>
      </c>
      <c r="I175" s="128">
        <v>62.46</v>
      </c>
      <c r="J175" s="128">
        <v>0</v>
      </c>
      <c r="K175" s="128">
        <v>0.01</v>
      </c>
      <c r="L175" s="128">
        <v>2.9</v>
      </c>
      <c r="M175" s="129">
        <v>0</v>
      </c>
      <c r="N175" s="128">
        <v>0.06</v>
      </c>
      <c r="O175" s="128">
        <v>8.05</v>
      </c>
      <c r="P175" s="128">
        <v>9.78</v>
      </c>
      <c r="Q175" s="128">
        <v>0.017</v>
      </c>
      <c r="R175" s="133">
        <v>0</v>
      </c>
      <c r="S175" s="128">
        <v>5.24</v>
      </c>
      <c r="T175" s="128">
        <v>0.87</v>
      </c>
    </row>
    <row r="176" spans="1:20" s="6" customFormat="1" ht="13.5" customHeight="1">
      <c r="A176" s="132" t="s">
        <v>30</v>
      </c>
      <c r="B176" s="153" t="s">
        <v>59</v>
      </c>
      <c r="C176" s="153"/>
      <c r="D176" s="134">
        <v>40</v>
      </c>
      <c r="E176" s="128">
        <v>2.6</v>
      </c>
      <c r="F176" s="128">
        <v>2.0266666666666664</v>
      </c>
      <c r="G176" s="133">
        <v>0.21333333333333335</v>
      </c>
      <c r="H176" s="133">
        <v>13.120000000000001</v>
      </c>
      <c r="I176" s="133">
        <v>62.50666666666667</v>
      </c>
      <c r="J176" s="133">
        <v>0.02666666666666667</v>
      </c>
      <c r="K176" s="133">
        <v>0.013333333333333334</v>
      </c>
      <c r="L176" s="133">
        <v>0.5866666666666667</v>
      </c>
      <c r="M176" s="133">
        <v>0</v>
      </c>
      <c r="N176" s="133">
        <v>0.9333333333333333</v>
      </c>
      <c r="O176" s="133">
        <v>5.333333333333333</v>
      </c>
      <c r="P176" s="133">
        <v>17.333333333333332</v>
      </c>
      <c r="Q176" s="133">
        <v>0.010666666666666666</v>
      </c>
      <c r="R176" s="133">
        <v>0.0013333333333333333</v>
      </c>
      <c r="S176" s="133">
        <v>0</v>
      </c>
      <c r="T176" s="133">
        <v>0.29333333333333333</v>
      </c>
    </row>
    <row r="177" spans="1:20" s="9" customFormat="1" ht="11.25" customHeight="1">
      <c r="A177" s="62" t="s">
        <v>34</v>
      </c>
      <c r="B177" s="63"/>
      <c r="C177" s="63"/>
      <c r="D177" s="39">
        <v>550</v>
      </c>
      <c r="E177" s="40">
        <f>SUM(E172:E176)</f>
        <v>53.63</v>
      </c>
      <c r="F177" s="41">
        <f>SUM(F172:F176)</f>
        <v>15.426666666666666</v>
      </c>
      <c r="G177" s="41">
        <f aca="true" t="shared" si="40" ref="G177:T177">SUM(G172:G176)</f>
        <v>20.77933333333333</v>
      </c>
      <c r="H177" s="41">
        <f t="shared" si="40"/>
        <v>76.67</v>
      </c>
      <c r="I177" s="41">
        <f t="shared" si="40"/>
        <v>555.4006666666667</v>
      </c>
      <c r="J177" s="41">
        <f t="shared" si="40"/>
        <v>0.3016666666666667</v>
      </c>
      <c r="K177" s="41">
        <f t="shared" si="40"/>
        <v>0.14133333333333334</v>
      </c>
      <c r="L177" s="41">
        <f t="shared" si="40"/>
        <v>13.309666666666667</v>
      </c>
      <c r="M177" s="41">
        <f t="shared" si="40"/>
        <v>0.39599999999999996</v>
      </c>
      <c r="N177" s="41">
        <f t="shared" si="40"/>
        <v>4.373333333333333</v>
      </c>
      <c r="O177" s="41">
        <f t="shared" si="40"/>
        <v>63.25933333333334</v>
      </c>
      <c r="P177" s="41">
        <f t="shared" si="40"/>
        <v>176.30533333333335</v>
      </c>
      <c r="Q177" s="41">
        <f t="shared" si="40"/>
        <v>2.363666666666667</v>
      </c>
      <c r="R177" s="41">
        <f t="shared" si="40"/>
        <v>2.5583333333333327</v>
      </c>
      <c r="S177" s="41">
        <f t="shared" si="40"/>
        <v>36.904</v>
      </c>
      <c r="T177" s="41">
        <f t="shared" si="40"/>
        <v>3.3453333333333335</v>
      </c>
    </row>
    <row r="178" spans="1:20" s="9" customFormat="1" ht="11.25" customHeight="1">
      <c r="A178" s="161" t="s">
        <v>35</v>
      </c>
      <c r="B178" s="161"/>
      <c r="C178" s="161"/>
      <c r="D178" s="161"/>
      <c r="E178" s="80"/>
      <c r="F178" s="87">
        <f aca="true" t="shared" si="41" ref="F178:T178">F177/F194</f>
        <v>0.1714074074074074</v>
      </c>
      <c r="G178" s="67">
        <f t="shared" si="41"/>
        <v>0.22586231884057967</v>
      </c>
      <c r="H178" s="67">
        <f t="shared" si="41"/>
        <v>0.2001827676240209</v>
      </c>
      <c r="I178" s="67">
        <f t="shared" si="41"/>
        <v>0.20419142156862746</v>
      </c>
      <c r="J178" s="67">
        <f t="shared" si="41"/>
        <v>0.21547619047619052</v>
      </c>
      <c r="K178" s="67">
        <f t="shared" si="41"/>
        <v>0.08833333333333333</v>
      </c>
      <c r="L178" s="67">
        <f t="shared" si="41"/>
        <v>0.19013809523809524</v>
      </c>
      <c r="M178" s="67">
        <f t="shared" si="41"/>
        <v>0.43999999999999995</v>
      </c>
      <c r="N178" s="67">
        <f t="shared" si="41"/>
        <v>0.3644444444444444</v>
      </c>
      <c r="O178" s="67">
        <f t="shared" si="41"/>
        <v>0.052716111111111116</v>
      </c>
      <c r="P178" s="67">
        <f t="shared" si="41"/>
        <v>0.1469211111111111</v>
      </c>
      <c r="Q178" s="67">
        <f t="shared" si="41"/>
        <v>0.16883333333333336</v>
      </c>
      <c r="R178" s="67">
        <f t="shared" si="41"/>
        <v>25.583333333333325</v>
      </c>
      <c r="S178" s="67">
        <f t="shared" si="41"/>
        <v>0.12301333333333335</v>
      </c>
      <c r="T178" s="67">
        <f t="shared" si="41"/>
        <v>0.18585185185185185</v>
      </c>
    </row>
    <row r="179" spans="1:20" s="9" customFormat="1" ht="11.25" customHeight="1">
      <c r="A179" s="151" t="s">
        <v>36</v>
      </c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</row>
    <row r="180" spans="1:20" s="6" customFormat="1" ht="21.75" customHeight="1">
      <c r="A180" s="17">
        <v>24</v>
      </c>
      <c r="B180" s="176" t="s">
        <v>74</v>
      </c>
      <c r="C180" s="176"/>
      <c r="D180" s="174">
        <v>70</v>
      </c>
      <c r="E180" s="175">
        <v>13.37</v>
      </c>
      <c r="F180" s="29">
        <v>0.59</v>
      </c>
      <c r="G180" s="29">
        <v>3.69</v>
      </c>
      <c r="H180" s="29">
        <v>2.24</v>
      </c>
      <c r="I180" s="29">
        <v>44.52</v>
      </c>
      <c r="J180" s="29">
        <v>0.03</v>
      </c>
      <c r="K180" s="29">
        <v>0.03333333333333333</v>
      </c>
      <c r="L180" s="29">
        <v>10.06</v>
      </c>
      <c r="M180" s="57">
        <v>0</v>
      </c>
      <c r="N180" s="29">
        <v>1.25</v>
      </c>
      <c r="O180" s="29">
        <v>11.21</v>
      </c>
      <c r="P180" s="29">
        <v>20.77</v>
      </c>
      <c r="Q180" s="29">
        <v>0.25</v>
      </c>
      <c r="R180" s="57">
        <v>0.0016666666666666668</v>
      </c>
      <c r="S180" s="29">
        <v>9.76</v>
      </c>
      <c r="T180" s="29">
        <v>0.44</v>
      </c>
    </row>
    <row r="181" spans="1:20" s="6" customFormat="1" ht="12.75" customHeight="1">
      <c r="A181" s="17">
        <v>84</v>
      </c>
      <c r="B181" s="152" t="s">
        <v>94</v>
      </c>
      <c r="C181" s="152"/>
      <c r="D181" s="26">
        <v>250</v>
      </c>
      <c r="E181" s="23">
        <v>17.6</v>
      </c>
      <c r="F181" s="23">
        <f>1.77*D181/200</f>
        <v>2.2125</v>
      </c>
      <c r="G181" s="23">
        <f>2.65*D181/200</f>
        <v>3.3125</v>
      </c>
      <c r="H181" s="23">
        <f>12.74*D181/200</f>
        <v>15.925</v>
      </c>
      <c r="I181" s="23">
        <f>F181*4+G181*9+H181*4</f>
        <v>102.36250000000001</v>
      </c>
      <c r="J181" s="25">
        <f>0.05*D181/200</f>
        <v>0.0625</v>
      </c>
      <c r="K181" s="25">
        <f>0.05*D181/200</f>
        <v>0.0625</v>
      </c>
      <c r="L181" s="23">
        <f>19*D181/200</f>
        <v>23.75</v>
      </c>
      <c r="M181" s="23">
        <f>0.74*D181/200</f>
        <v>0.925</v>
      </c>
      <c r="N181" s="26">
        <f>0.1*D181/200</f>
        <v>0.125</v>
      </c>
      <c r="O181" s="23">
        <f>43.11*D181/200</f>
        <v>53.8875</v>
      </c>
      <c r="P181" s="23">
        <f>48.75*D181/200</f>
        <v>60.9375</v>
      </c>
      <c r="Q181" s="25">
        <f>1.3*D181/200</f>
        <v>1.625</v>
      </c>
      <c r="R181" s="25">
        <f>0.0032*D181/200</f>
        <v>0.004</v>
      </c>
      <c r="S181" s="23">
        <f>22.44*D181/200</f>
        <v>28.05</v>
      </c>
      <c r="T181" s="23">
        <f>0.8*D181/200</f>
        <v>1</v>
      </c>
    </row>
    <row r="182" spans="1:20" s="6" customFormat="1" ht="10.5" customHeight="1">
      <c r="A182" s="32">
        <v>261</v>
      </c>
      <c r="B182" s="152" t="s">
        <v>95</v>
      </c>
      <c r="C182" s="152"/>
      <c r="D182" s="24">
        <v>120</v>
      </c>
      <c r="E182" s="23">
        <v>34.06</v>
      </c>
      <c r="F182" s="29">
        <v>22.06</v>
      </c>
      <c r="G182" s="31">
        <v>18.23</v>
      </c>
      <c r="H182" s="31">
        <v>5.88</v>
      </c>
      <c r="I182" s="29">
        <v>276.25</v>
      </c>
      <c r="J182" s="30">
        <v>0.074</v>
      </c>
      <c r="K182" s="30">
        <v>0.06</v>
      </c>
      <c r="L182" s="31">
        <v>0.03</v>
      </c>
      <c r="M182" s="30">
        <v>53.75</v>
      </c>
      <c r="N182" s="30">
        <v>1.68</v>
      </c>
      <c r="O182" s="29">
        <v>68.13</v>
      </c>
      <c r="P182" s="31">
        <v>166.13</v>
      </c>
      <c r="Q182" s="58">
        <v>4.33</v>
      </c>
      <c r="R182" s="76">
        <v>0.06</v>
      </c>
      <c r="S182" s="31">
        <v>25.38</v>
      </c>
      <c r="T182" s="29">
        <v>2.03</v>
      </c>
    </row>
    <row r="183" spans="1:20" s="6" customFormat="1" ht="24" customHeight="1">
      <c r="A183" s="124">
        <v>304</v>
      </c>
      <c r="B183" s="154" t="s">
        <v>58</v>
      </c>
      <c r="C183" s="154"/>
      <c r="D183" s="126">
        <v>180</v>
      </c>
      <c r="E183" s="125">
        <v>8.24</v>
      </c>
      <c r="F183" s="128">
        <v>4.44</v>
      </c>
      <c r="G183" s="128">
        <v>6.44</v>
      </c>
      <c r="H183" s="128">
        <v>44.016</v>
      </c>
      <c r="I183" s="128">
        <v>251.82</v>
      </c>
      <c r="J183" s="128">
        <v>0.036</v>
      </c>
      <c r="K183" s="128">
        <v>0.024</v>
      </c>
      <c r="L183" s="129">
        <v>0</v>
      </c>
      <c r="M183" s="128">
        <v>0.048</v>
      </c>
      <c r="N183" s="129">
        <v>0</v>
      </c>
      <c r="O183" s="130">
        <v>17.928</v>
      </c>
      <c r="P183" s="130">
        <v>95.256</v>
      </c>
      <c r="Q183" s="134">
        <v>0</v>
      </c>
      <c r="R183" s="140">
        <v>0.001</v>
      </c>
      <c r="S183" s="130">
        <v>33.468</v>
      </c>
      <c r="T183" s="128">
        <v>0.708</v>
      </c>
    </row>
    <row r="184" spans="1:20" s="6" customFormat="1" ht="12" customHeight="1">
      <c r="A184" s="17">
        <v>699</v>
      </c>
      <c r="B184" s="152" t="s">
        <v>77</v>
      </c>
      <c r="C184" s="152"/>
      <c r="D184" s="24">
        <v>200</v>
      </c>
      <c r="E184" s="23">
        <v>4.38</v>
      </c>
      <c r="F184" s="29">
        <v>0.1</v>
      </c>
      <c r="G184" s="30">
        <v>0</v>
      </c>
      <c r="H184" s="31">
        <v>15.7</v>
      </c>
      <c r="I184" s="29">
        <v>63.2</v>
      </c>
      <c r="J184" s="30">
        <v>0.018</v>
      </c>
      <c r="K184" s="30">
        <v>0.012</v>
      </c>
      <c r="L184" s="31">
        <v>8</v>
      </c>
      <c r="M184" s="30">
        <v>0</v>
      </c>
      <c r="N184" s="29">
        <v>0.2</v>
      </c>
      <c r="O184" s="29">
        <v>10.8</v>
      </c>
      <c r="P184" s="29">
        <v>1.7</v>
      </c>
      <c r="Q184" s="29">
        <v>0</v>
      </c>
      <c r="R184" s="57">
        <v>0</v>
      </c>
      <c r="S184" s="29">
        <v>5.8</v>
      </c>
      <c r="T184" s="29">
        <v>1.6</v>
      </c>
    </row>
    <row r="185" spans="1:20" s="6" customFormat="1" ht="11.25" customHeight="1">
      <c r="A185" s="32" t="s">
        <v>30</v>
      </c>
      <c r="B185" s="152" t="s">
        <v>59</v>
      </c>
      <c r="C185" s="152"/>
      <c r="D185" s="24">
        <v>50</v>
      </c>
      <c r="E185" s="23">
        <v>2.35</v>
      </c>
      <c r="F185" s="23">
        <f>1.52*D185/30</f>
        <v>2.533333333333333</v>
      </c>
      <c r="G185" s="25">
        <f>0.16*D185/30</f>
        <v>0.26666666666666666</v>
      </c>
      <c r="H185" s="25">
        <f>9.84*D185/30</f>
        <v>16.4</v>
      </c>
      <c r="I185" s="25">
        <f>F185*4+G185*9+H185*4</f>
        <v>78.13333333333333</v>
      </c>
      <c r="J185" s="25">
        <f>0.02*D185/30</f>
        <v>0.03333333333333333</v>
      </c>
      <c r="K185" s="25">
        <f>0.01*D185/30</f>
        <v>0.016666666666666666</v>
      </c>
      <c r="L185" s="25">
        <f>0.44*D185/30</f>
        <v>0.7333333333333333</v>
      </c>
      <c r="M185" s="25">
        <v>0</v>
      </c>
      <c r="N185" s="25">
        <f>0.7*D185/30</f>
        <v>1.1666666666666667</v>
      </c>
      <c r="O185" s="25">
        <f>4*D185/30</f>
        <v>6.666666666666667</v>
      </c>
      <c r="P185" s="25">
        <f>13*D185/30</f>
        <v>21.666666666666668</v>
      </c>
      <c r="Q185" s="25">
        <f>0.008*D185/30</f>
        <v>0.013333333333333334</v>
      </c>
      <c r="R185" s="25">
        <f>0.001*D185/30</f>
        <v>0.0016666666666666668</v>
      </c>
      <c r="S185" s="25">
        <v>0</v>
      </c>
      <c r="T185" s="25">
        <f>0.22*D185/30</f>
        <v>0.36666666666666664</v>
      </c>
    </row>
    <row r="186" spans="1:20" s="6" customFormat="1" ht="11.25" customHeight="1">
      <c r="A186" s="62" t="s">
        <v>45</v>
      </c>
      <c r="B186" s="63"/>
      <c r="C186" s="63"/>
      <c r="D186" s="39">
        <f aca="true" t="shared" si="42" ref="D186:T186">SUM(D180:D185)</f>
        <v>870</v>
      </c>
      <c r="E186" s="40">
        <f t="shared" si="42"/>
        <v>79.99999999999999</v>
      </c>
      <c r="F186" s="41">
        <f t="shared" si="42"/>
        <v>31.935833333333335</v>
      </c>
      <c r="G186" s="41">
        <f t="shared" si="42"/>
        <v>31.93916666666667</v>
      </c>
      <c r="H186" s="41">
        <f t="shared" si="42"/>
        <v>100.161</v>
      </c>
      <c r="I186" s="41">
        <f t="shared" si="42"/>
        <v>816.2858333333335</v>
      </c>
      <c r="J186" s="41">
        <f t="shared" si="42"/>
        <v>0.2538333333333333</v>
      </c>
      <c r="K186" s="41">
        <f t="shared" si="42"/>
        <v>0.2085</v>
      </c>
      <c r="L186" s="41">
        <f t="shared" si="42"/>
        <v>42.57333333333334</v>
      </c>
      <c r="M186" s="41">
        <f t="shared" si="42"/>
        <v>54.723</v>
      </c>
      <c r="N186" s="41">
        <f t="shared" si="42"/>
        <v>4.421666666666667</v>
      </c>
      <c r="O186" s="41">
        <f t="shared" si="42"/>
        <v>168.62216666666666</v>
      </c>
      <c r="P186" s="41">
        <f t="shared" si="42"/>
        <v>366.4601666666666</v>
      </c>
      <c r="Q186" s="41">
        <f t="shared" si="42"/>
        <v>6.218333333333334</v>
      </c>
      <c r="R186" s="41">
        <f t="shared" si="42"/>
        <v>0.06833333333333333</v>
      </c>
      <c r="S186" s="41">
        <f t="shared" si="42"/>
        <v>102.458</v>
      </c>
      <c r="T186" s="41">
        <f t="shared" si="42"/>
        <v>6.144666666666667</v>
      </c>
    </row>
    <row r="187" spans="1:20" s="6" customFormat="1" ht="11.25" customHeight="1">
      <c r="A187" s="161" t="s">
        <v>35</v>
      </c>
      <c r="B187" s="161"/>
      <c r="C187" s="161"/>
      <c r="D187" s="161"/>
      <c r="E187" s="80"/>
      <c r="F187" s="87">
        <f aca="true" t="shared" si="43" ref="F187:T187">F186/F194</f>
        <v>0.3548425925925926</v>
      </c>
      <c r="G187" s="67">
        <f t="shared" si="43"/>
        <v>0.3471648550724638</v>
      </c>
      <c r="H187" s="67">
        <f t="shared" si="43"/>
        <v>0.26151697127937334</v>
      </c>
      <c r="I187" s="67">
        <f t="shared" si="43"/>
        <v>0.3001050857843138</v>
      </c>
      <c r="J187" s="67">
        <f t="shared" si="43"/>
        <v>0.1813095238095238</v>
      </c>
      <c r="K187" s="67">
        <f t="shared" si="43"/>
        <v>0.1303125</v>
      </c>
      <c r="L187" s="67">
        <f t="shared" si="43"/>
        <v>0.6081904761904763</v>
      </c>
      <c r="M187" s="67">
        <f t="shared" si="43"/>
        <v>60.80333333333333</v>
      </c>
      <c r="N187" s="67">
        <f t="shared" si="43"/>
        <v>0.36847222222222226</v>
      </c>
      <c r="O187" s="67">
        <f t="shared" si="43"/>
        <v>0.14051847222222222</v>
      </c>
      <c r="P187" s="67">
        <f t="shared" si="43"/>
        <v>0.3053834722222222</v>
      </c>
      <c r="Q187" s="67">
        <f t="shared" si="43"/>
        <v>0.4441666666666667</v>
      </c>
      <c r="R187" s="67">
        <f t="shared" si="43"/>
        <v>0.6833333333333332</v>
      </c>
      <c r="S187" s="67">
        <f t="shared" si="43"/>
        <v>0.34152666666666665</v>
      </c>
      <c r="T187" s="67">
        <f t="shared" si="43"/>
        <v>0.3413703703703704</v>
      </c>
    </row>
    <row r="188" spans="1:20" s="6" customFormat="1" ht="11.25" customHeight="1">
      <c r="A188" s="151" t="s">
        <v>46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</row>
    <row r="189" spans="1:20" s="6" customFormat="1" ht="11.25" customHeight="1">
      <c r="A189" s="17"/>
      <c r="B189" s="152" t="s">
        <v>97</v>
      </c>
      <c r="C189" s="152"/>
      <c r="D189" s="24">
        <v>75</v>
      </c>
      <c r="E189" s="23">
        <v>16.19</v>
      </c>
      <c r="F189" s="23">
        <v>5.2</v>
      </c>
      <c r="G189" s="23">
        <v>5.82</v>
      </c>
      <c r="H189" s="23">
        <v>37.5</v>
      </c>
      <c r="I189" s="23">
        <f>F189*4+G189*9+H189*4</f>
        <v>223.18</v>
      </c>
      <c r="J189" s="23">
        <v>0.06</v>
      </c>
      <c r="K189" s="23">
        <v>0.02</v>
      </c>
      <c r="L189" s="61">
        <v>0.9</v>
      </c>
      <c r="M189" s="23">
        <v>0.01</v>
      </c>
      <c r="N189" s="26">
        <v>0</v>
      </c>
      <c r="O189" s="61">
        <v>21.42</v>
      </c>
      <c r="P189" s="23">
        <v>113.9</v>
      </c>
      <c r="Q189" s="61">
        <v>1</v>
      </c>
      <c r="R189" s="24">
        <v>0</v>
      </c>
      <c r="S189" s="23">
        <v>21.14</v>
      </c>
      <c r="T189" s="23">
        <v>0.58</v>
      </c>
    </row>
    <row r="190" spans="1:20" s="6" customFormat="1" ht="12" customHeight="1">
      <c r="A190" s="17">
        <v>389</v>
      </c>
      <c r="B190" s="152" t="s">
        <v>67</v>
      </c>
      <c r="C190" s="152"/>
      <c r="D190" s="24">
        <v>200</v>
      </c>
      <c r="E190" s="23">
        <v>13.81</v>
      </c>
      <c r="F190" s="23">
        <v>3.17</v>
      </c>
      <c r="G190" s="23">
        <v>2.68</v>
      </c>
      <c r="H190" s="23">
        <v>15.95</v>
      </c>
      <c r="I190" s="23">
        <f>F190*4+G190*9+H190*4</f>
        <v>100.6</v>
      </c>
      <c r="J190" s="26">
        <v>0.04</v>
      </c>
      <c r="K190" s="26">
        <v>0.15</v>
      </c>
      <c r="L190" s="61">
        <v>1.3</v>
      </c>
      <c r="M190" s="26">
        <v>0.03</v>
      </c>
      <c r="N190" s="26">
        <v>0.06</v>
      </c>
      <c r="O190" s="61">
        <v>120.4</v>
      </c>
      <c r="P190" s="61">
        <v>90</v>
      </c>
      <c r="Q190" s="61">
        <v>1.1</v>
      </c>
      <c r="R190" s="61">
        <v>0.01</v>
      </c>
      <c r="S190" s="61">
        <v>14</v>
      </c>
      <c r="T190" s="23">
        <v>0.12</v>
      </c>
    </row>
    <row r="191" spans="1:20" s="9" customFormat="1" ht="11.25" customHeight="1">
      <c r="A191" s="62" t="s">
        <v>49</v>
      </c>
      <c r="B191" s="63"/>
      <c r="C191" s="63"/>
      <c r="D191" s="39">
        <f>SUM(D189:D190)</f>
        <v>275</v>
      </c>
      <c r="E191" s="40">
        <f>SUM(E189:E190)</f>
        <v>30</v>
      </c>
      <c r="F191" s="40">
        <f>SUM(F189:F190)</f>
        <v>8.370000000000001</v>
      </c>
      <c r="G191" s="40">
        <f aca="true" t="shared" si="44" ref="G191:T191">SUM(G189:G190)</f>
        <v>8.5</v>
      </c>
      <c r="H191" s="40">
        <f t="shared" si="44"/>
        <v>53.45</v>
      </c>
      <c r="I191" s="40">
        <f t="shared" si="44"/>
        <v>323.78</v>
      </c>
      <c r="J191" s="40">
        <f t="shared" si="44"/>
        <v>0.1</v>
      </c>
      <c r="K191" s="40">
        <f t="shared" si="44"/>
        <v>0.16999999999999998</v>
      </c>
      <c r="L191" s="40">
        <f t="shared" si="44"/>
        <v>2.2</v>
      </c>
      <c r="M191" s="40">
        <f t="shared" si="44"/>
        <v>0.04</v>
      </c>
      <c r="N191" s="40">
        <f t="shared" si="44"/>
        <v>0.06</v>
      </c>
      <c r="O191" s="40">
        <f t="shared" si="44"/>
        <v>141.82</v>
      </c>
      <c r="P191" s="40">
        <f t="shared" si="44"/>
        <v>203.9</v>
      </c>
      <c r="Q191" s="40">
        <f t="shared" si="44"/>
        <v>2.1</v>
      </c>
      <c r="R191" s="40">
        <f t="shared" si="44"/>
        <v>0.01</v>
      </c>
      <c r="S191" s="40">
        <f t="shared" si="44"/>
        <v>35.14</v>
      </c>
      <c r="T191" s="40">
        <f t="shared" si="44"/>
        <v>0.7</v>
      </c>
    </row>
    <row r="192" spans="1:20" s="9" customFormat="1" ht="11.25" customHeight="1">
      <c r="A192" s="161" t="s">
        <v>35</v>
      </c>
      <c r="B192" s="161"/>
      <c r="C192" s="161"/>
      <c r="D192" s="161"/>
      <c r="E192" s="44"/>
      <c r="F192" s="66">
        <f aca="true" t="shared" si="45" ref="F192:T192">F191/F194</f>
        <v>0.09300000000000001</v>
      </c>
      <c r="G192" s="67">
        <f t="shared" si="45"/>
        <v>0.09239130434782608</v>
      </c>
      <c r="H192" s="67">
        <f t="shared" si="45"/>
        <v>0.13955613577023498</v>
      </c>
      <c r="I192" s="67">
        <f t="shared" si="45"/>
        <v>0.11903676470588234</v>
      </c>
      <c r="J192" s="67">
        <f t="shared" si="45"/>
        <v>0.07142857142857144</v>
      </c>
      <c r="K192" s="67">
        <f t="shared" si="45"/>
        <v>0.10624999999999998</v>
      </c>
      <c r="L192" s="67">
        <f t="shared" si="45"/>
        <v>0.03142857142857143</v>
      </c>
      <c r="M192" s="67">
        <f t="shared" si="45"/>
        <v>0.044444444444444446</v>
      </c>
      <c r="N192" s="67">
        <f t="shared" si="45"/>
        <v>0.005</v>
      </c>
      <c r="O192" s="67">
        <f t="shared" si="45"/>
        <v>0.11818333333333332</v>
      </c>
      <c r="P192" s="67">
        <f t="shared" si="45"/>
        <v>0.16991666666666666</v>
      </c>
      <c r="Q192" s="67">
        <f t="shared" si="45"/>
        <v>0.15</v>
      </c>
      <c r="R192" s="67">
        <f t="shared" si="45"/>
        <v>0.09999999999999999</v>
      </c>
      <c r="S192" s="67">
        <f t="shared" si="45"/>
        <v>0.11713333333333334</v>
      </c>
      <c r="T192" s="67">
        <f t="shared" si="45"/>
        <v>0.03888888888888889</v>
      </c>
    </row>
    <row r="193" spans="1:20" s="9" customFormat="1" ht="11.25" customHeight="1">
      <c r="A193" s="157" t="s">
        <v>50</v>
      </c>
      <c r="B193" s="157"/>
      <c r="C193" s="157"/>
      <c r="D193" s="157"/>
      <c r="E193" s="44"/>
      <c r="F193" s="41">
        <f aca="true" t="shared" si="46" ref="F193:T193">SUM(F177,F186,F191)</f>
        <v>55.7325</v>
      </c>
      <c r="G193" s="42">
        <f t="shared" si="46"/>
        <v>61.2185</v>
      </c>
      <c r="H193" s="42">
        <f t="shared" si="46"/>
        <v>230.281</v>
      </c>
      <c r="I193" s="42">
        <f t="shared" si="46"/>
        <v>1695.4665000000002</v>
      </c>
      <c r="J193" s="41">
        <f t="shared" si="46"/>
        <v>0.6555</v>
      </c>
      <c r="K193" s="41">
        <f t="shared" si="46"/>
        <v>0.5198333333333334</v>
      </c>
      <c r="L193" s="42">
        <f t="shared" si="46"/>
        <v>58.083000000000006</v>
      </c>
      <c r="M193" s="41">
        <f t="shared" si="46"/>
        <v>55.159</v>
      </c>
      <c r="N193" s="41">
        <f t="shared" si="46"/>
        <v>8.855</v>
      </c>
      <c r="O193" s="42">
        <f t="shared" si="46"/>
        <v>373.7015</v>
      </c>
      <c r="P193" s="42">
        <f t="shared" si="46"/>
        <v>746.6655</v>
      </c>
      <c r="Q193" s="41">
        <f t="shared" si="46"/>
        <v>10.682</v>
      </c>
      <c r="R193" s="43">
        <f t="shared" si="46"/>
        <v>2.636666666666666</v>
      </c>
      <c r="S193" s="41">
        <f t="shared" si="46"/>
        <v>174.502</v>
      </c>
      <c r="T193" s="41">
        <f t="shared" si="46"/>
        <v>10.19</v>
      </c>
    </row>
    <row r="194" spans="1:20" s="9" customFormat="1" ht="11.25" customHeight="1">
      <c r="A194" s="157" t="s">
        <v>51</v>
      </c>
      <c r="B194" s="157"/>
      <c r="C194" s="157"/>
      <c r="D194" s="157"/>
      <c r="E194" s="44"/>
      <c r="F194" s="23">
        <v>90</v>
      </c>
      <c r="G194" s="61">
        <v>92</v>
      </c>
      <c r="H194" s="61">
        <v>383</v>
      </c>
      <c r="I194" s="61">
        <v>2720</v>
      </c>
      <c r="J194" s="23">
        <v>1.4</v>
      </c>
      <c r="K194" s="23">
        <v>1.6</v>
      </c>
      <c r="L194" s="24">
        <v>70</v>
      </c>
      <c r="M194" s="23">
        <v>0.9</v>
      </c>
      <c r="N194" s="24">
        <v>12</v>
      </c>
      <c r="O194" s="24">
        <v>1200</v>
      </c>
      <c r="P194" s="24">
        <v>1200</v>
      </c>
      <c r="Q194" s="24">
        <v>14</v>
      </c>
      <c r="R194" s="61">
        <v>0.1</v>
      </c>
      <c r="S194" s="24">
        <v>300</v>
      </c>
      <c r="T194" s="23">
        <v>18</v>
      </c>
    </row>
    <row r="195" spans="1:20" s="9" customFormat="1" ht="11.25" customHeight="1">
      <c r="A195" s="161" t="s">
        <v>35</v>
      </c>
      <c r="B195" s="161"/>
      <c r="C195" s="161"/>
      <c r="D195" s="161"/>
      <c r="E195" s="44"/>
      <c r="F195" s="66">
        <f aca="true" t="shared" si="47" ref="F195:T195">F193/F194</f>
        <v>0.61925</v>
      </c>
      <c r="G195" s="67">
        <f t="shared" si="47"/>
        <v>0.6654184782608695</v>
      </c>
      <c r="H195" s="67">
        <f t="shared" si="47"/>
        <v>0.6012558746736293</v>
      </c>
      <c r="I195" s="67">
        <f t="shared" si="47"/>
        <v>0.6233332720588236</v>
      </c>
      <c r="J195" s="67">
        <f t="shared" si="47"/>
        <v>0.46821428571428575</v>
      </c>
      <c r="K195" s="67">
        <f t="shared" si="47"/>
        <v>0.32489583333333333</v>
      </c>
      <c r="L195" s="67">
        <f t="shared" si="47"/>
        <v>0.829757142857143</v>
      </c>
      <c r="M195" s="68">
        <f t="shared" si="47"/>
        <v>61.28777777777778</v>
      </c>
      <c r="N195" s="67">
        <f t="shared" si="47"/>
        <v>0.7379166666666667</v>
      </c>
      <c r="O195" s="67">
        <f t="shared" si="47"/>
        <v>0.3114179166666667</v>
      </c>
      <c r="P195" s="67">
        <f t="shared" si="47"/>
        <v>0.62222125</v>
      </c>
      <c r="Q195" s="67">
        <f t="shared" si="47"/>
        <v>0.763</v>
      </c>
      <c r="R195" s="68">
        <f t="shared" si="47"/>
        <v>26.366666666666656</v>
      </c>
      <c r="S195" s="67">
        <f t="shared" si="47"/>
        <v>0.5816733333333334</v>
      </c>
      <c r="T195" s="68">
        <f t="shared" si="47"/>
        <v>0.5661111111111111</v>
      </c>
    </row>
    <row r="196" spans="1:20" s="9" customFormat="1" ht="11.25" customHeight="1">
      <c r="A196" s="4"/>
      <c r="B196" s="5"/>
      <c r="C196" s="5"/>
      <c r="D196" s="6"/>
      <c r="E196" s="7"/>
      <c r="F196" s="7"/>
      <c r="G196" s="6"/>
      <c r="H196" s="6"/>
      <c r="I196" s="6"/>
      <c r="J196" s="6"/>
      <c r="K196" s="6"/>
      <c r="L196" s="6"/>
      <c r="M196" s="143" t="s">
        <v>0</v>
      </c>
      <c r="N196" s="143"/>
      <c r="O196" s="143"/>
      <c r="P196" s="143"/>
      <c r="Q196" s="143"/>
      <c r="R196" s="143"/>
      <c r="S196" s="143"/>
      <c r="T196" s="143"/>
    </row>
    <row r="197" spans="1:20" s="9" customFormat="1" ht="11.25" customHeight="1">
      <c r="A197" s="158" t="s">
        <v>98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</row>
    <row r="198" spans="1:20" s="9" customFormat="1" ht="11.25" customHeight="1">
      <c r="A198" s="10" t="s">
        <v>2</v>
      </c>
      <c r="B198" s="5"/>
      <c r="C198" s="5"/>
      <c r="D198" s="8"/>
      <c r="E198" s="11"/>
      <c r="F198" s="7"/>
      <c r="G198" s="145" t="s">
        <v>53</v>
      </c>
      <c r="H198" s="145"/>
      <c r="I198" s="145"/>
      <c r="J198" s="6"/>
      <c r="K198" s="6"/>
      <c r="L198" s="146"/>
      <c r="M198" s="146"/>
      <c r="N198" s="147"/>
      <c r="O198" s="147"/>
      <c r="P198" s="147"/>
      <c r="Q198" s="147"/>
      <c r="R198" s="6"/>
      <c r="S198" s="6"/>
      <c r="T198" s="6"/>
    </row>
    <row r="199" spans="1:20" s="9" customFormat="1" ht="11.25" customHeight="1">
      <c r="A199" s="5"/>
      <c r="B199" s="5"/>
      <c r="C199" s="5"/>
      <c r="D199" s="162" t="s">
        <v>4</v>
      </c>
      <c r="E199" s="162"/>
      <c r="F199" s="162"/>
      <c r="G199" s="12">
        <v>2</v>
      </c>
      <c r="H199" s="6"/>
      <c r="I199" s="8"/>
      <c r="J199" s="8"/>
      <c r="K199" s="8"/>
      <c r="L199" s="162"/>
      <c r="M199" s="162"/>
      <c r="N199" s="145"/>
      <c r="O199" s="145"/>
      <c r="P199" s="145"/>
      <c r="Q199" s="145"/>
      <c r="R199" s="145"/>
      <c r="S199" s="145"/>
      <c r="T199" s="145"/>
    </row>
    <row r="200" spans="1:20" s="9" customFormat="1" ht="21.75" customHeight="1">
      <c r="A200" s="149" t="s">
        <v>54</v>
      </c>
      <c r="B200" s="149" t="s">
        <v>55</v>
      </c>
      <c r="C200" s="149"/>
      <c r="D200" s="149" t="s">
        <v>7</v>
      </c>
      <c r="E200" s="85"/>
      <c r="F200" s="149" t="s">
        <v>8</v>
      </c>
      <c r="G200" s="149"/>
      <c r="H200" s="149"/>
      <c r="I200" s="149" t="s">
        <v>9</v>
      </c>
      <c r="J200" s="149" t="s">
        <v>10</v>
      </c>
      <c r="K200" s="149"/>
      <c r="L200" s="149"/>
      <c r="M200" s="149"/>
      <c r="N200" s="149"/>
      <c r="O200" s="149" t="s">
        <v>11</v>
      </c>
      <c r="P200" s="149"/>
      <c r="Q200" s="149"/>
      <c r="R200" s="149"/>
      <c r="S200" s="149"/>
      <c r="T200" s="149"/>
    </row>
    <row r="201" spans="1:20" s="9" customFormat="1" ht="21" customHeight="1">
      <c r="A201" s="149"/>
      <c r="B201" s="149"/>
      <c r="C201" s="149"/>
      <c r="D201" s="149"/>
      <c r="E201" s="15"/>
      <c r="F201" s="16" t="s">
        <v>12</v>
      </c>
      <c r="G201" s="13" t="s">
        <v>13</v>
      </c>
      <c r="H201" s="13" t="s">
        <v>14</v>
      </c>
      <c r="I201" s="149"/>
      <c r="J201" s="13" t="s">
        <v>15</v>
      </c>
      <c r="K201" s="13" t="s">
        <v>16</v>
      </c>
      <c r="L201" s="13" t="s">
        <v>17</v>
      </c>
      <c r="M201" s="13" t="s">
        <v>18</v>
      </c>
      <c r="N201" s="13" t="s">
        <v>19</v>
      </c>
      <c r="O201" s="13" t="s">
        <v>20</v>
      </c>
      <c r="P201" s="13" t="s">
        <v>21</v>
      </c>
      <c r="Q201" s="13" t="s">
        <v>22</v>
      </c>
      <c r="R201" s="13" t="s">
        <v>23</v>
      </c>
      <c r="S201" s="13" t="s">
        <v>24</v>
      </c>
      <c r="T201" s="13" t="s">
        <v>25</v>
      </c>
    </row>
    <row r="202" spans="1:20" s="9" customFormat="1" ht="11.25" customHeight="1">
      <c r="A202" s="17">
        <v>1</v>
      </c>
      <c r="B202" s="150">
        <v>2</v>
      </c>
      <c r="C202" s="150"/>
      <c r="D202" s="18">
        <v>3</v>
      </c>
      <c r="E202" s="19"/>
      <c r="F202" s="19">
        <v>4</v>
      </c>
      <c r="G202" s="18">
        <v>5</v>
      </c>
      <c r="H202" s="18">
        <v>6</v>
      </c>
      <c r="I202" s="18">
        <v>7</v>
      </c>
      <c r="J202" s="18">
        <v>8</v>
      </c>
      <c r="K202" s="18">
        <v>9</v>
      </c>
      <c r="L202" s="18">
        <v>10</v>
      </c>
      <c r="M202" s="18">
        <v>11</v>
      </c>
      <c r="N202" s="18">
        <v>12</v>
      </c>
      <c r="O202" s="18">
        <v>13</v>
      </c>
      <c r="P202" s="18">
        <v>14</v>
      </c>
      <c r="Q202" s="18">
        <v>15</v>
      </c>
      <c r="R202" s="18">
        <v>16</v>
      </c>
      <c r="S202" s="18">
        <v>17</v>
      </c>
      <c r="T202" s="18">
        <v>18</v>
      </c>
    </row>
    <row r="203" spans="1:20" s="9" customFormat="1" ht="11.25" customHeight="1">
      <c r="A203" s="151" t="s">
        <v>56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</row>
    <row r="204" spans="1:20" s="9" customFormat="1" ht="21.75" customHeight="1">
      <c r="A204" s="32" t="s">
        <v>30</v>
      </c>
      <c r="B204" s="152" t="s">
        <v>72</v>
      </c>
      <c r="C204" s="152"/>
      <c r="D204" s="24">
        <v>17</v>
      </c>
      <c r="E204" s="23">
        <v>5.9</v>
      </c>
      <c r="F204" s="26">
        <v>1.4</v>
      </c>
      <c r="G204" s="26">
        <v>1.7</v>
      </c>
      <c r="H204" s="26">
        <v>11.1</v>
      </c>
      <c r="I204" s="26">
        <v>65.6</v>
      </c>
      <c r="J204" s="26">
        <v>0.05</v>
      </c>
      <c r="K204" s="26">
        <v>0.04</v>
      </c>
      <c r="L204" s="26">
        <v>0.1</v>
      </c>
      <c r="M204" s="26">
        <v>0.005</v>
      </c>
      <c r="N204" s="26">
        <v>0.02</v>
      </c>
      <c r="O204" s="26">
        <v>30.7</v>
      </c>
      <c r="P204" s="26">
        <v>21.9</v>
      </c>
      <c r="Q204" s="26">
        <v>0.1</v>
      </c>
      <c r="R204" s="26">
        <v>0.001</v>
      </c>
      <c r="S204" s="26">
        <v>3.4</v>
      </c>
      <c r="T204" s="26">
        <v>0.02</v>
      </c>
    </row>
    <row r="205" spans="1:20" s="6" customFormat="1" ht="33" customHeight="1">
      <c r="A205" s="17">
        <v>222</v>
      </c>
      <c r="B205" s="159" t="s">
        <v>73</v>
      </c>
      <c r="C205" s="160"/>
      <c r="D205" s="24">
        <v>160</v>
      </c>
      <c r="E205" s="23">
        <v>44.13</v>
      </c>
      <c r="F205" s="29">
        <v>14.92</v>
      </c>
      <c r="G205" s="29">
        <v>14.38</v>
      </c>
      <c r="H205" s="29">
        <v>31.51</v>
      </c>
      <c r="I205" s="29">
        <v>315.14</v>
      </c>
      <c r="J205" s="31">
        <v>0.26</v>
      </c>
      <c r="K205" s="31">
        <v>0.408</v>
      </c>
      <c r="L205" s="31">
        <v>0.935</v>
      </c>
      <c r="M205" s="29">
        <v>0.213</v>
      </c>
      <c r="N205" s="57">
        <v>1.36</v>
      </c>
      <c r="O205" s="31">
        <v>215.96</v>
      </c>
      <c r="P205" s="31">
        <v>414.6</v>
      </c>
      <c r="Q205" s="31">
        <v>1.2</v>
      </c>
      <c r="R205" s="57">
        <v>0.02</v>
      </c>
      <c r="S205" s="31">
        <v>93.883</v>
      </c>
      <c r="T205" s="29">
        <v>2.533</v>
      </c>
    </row>
    <row r="206" spans="1:20" s="6" customFormat="1" ht="24" customHeight="1">
      <c r="A206" s="34">
        <v>377</v>
      </c>
      <c r="B206" s="148" t="s">
        <v>48</v>
      </c>
      <c r="C206" s="148"/>
      <c r="D206" s="58">
        <v>200</v>
      </c>
      <c r="E206" s="29">
        <v>3.6</v>
      </c>
      <c r="F206" s="128">
        <v>0.26</v>
      </c>
      <c r="G206" s="128">
        <v>0.06</v>
      </c>
      <c r="H206" s="128">
        <v>15.22</v>
      </c>
      <c r="I206" s="128">
        <v>62.46</v>
      </c>
      <c r="J206" s="128">
        <v>0</v>
      </c>
      <c r="K206" s="128">
        <v>0.01</v>
      </c>
      <c r="L206" s="128">
        <v>2.9</v>
      </c>
      <c r="M206" s="129">
        <v>0</v>
      </c>
      <c r="N206" s="128">
        <v>0.06</v>
      </c>
      <c r="O206" s="128">
        <v>8.05</v>
      </c>
      <c r="P206" s="128">
        <v>9.78</v>
      </c>
      <c r="Q206" s="128">
        <v>0.017</v>
      </c>
      <c r="R206" s="133">
        <v>0</v>
      </c>
      <c r="S206" s="128">
        <v>5.24</v>
      </c>
      <c r="T206" s="128">
        <v>0.87</v>
      </c>
    </row>
    <row r="207" spans="1:20" s="6" customFormat="1" ht="11.25" customHeight="1">
      <c r="A207" s="105" t="s">
        <v>60</v>
      </c>
      <c r="B207" s="86"/>
      <c r="C207" s="86"/>
      <c r="D207" s="39">
        <f>SUM(D204:D206)</f>
        <v>377</v>
      </c>
      <c r="E207" s="40">
        <f>SUM(E204:E206)</f>
        <v>53.63</v>
      </c>
      <c r="F207" s="41">
        <f>SUM(F204:F206)</f>
        <v>16.580000000000002</v>
      </c>
      <c r="G207" s="41">
        <f aca="true" t="shared" si="48" ref="G207:T207">SUM(G204:G206)</f>
        <v>16.14</v>
      </c>
      <c r="H207" s="41">
        <f t="shared" si="48"/>
        <v>57.83</v>
      </c>
      <c r="I207" s="41">
        <f t="shared" si="48"/>
        <v>443.2</v>
      </c>
      <c r="J207" s="41">
        <f t="shared" si="48"/>
        <v>0.31</v>
      </c>
      <c r="K207" s="41">
        <f t="shared" si="48"/>
        <v>0.45799999999999996</v>
      </c>
      <c r="L207" s="41">
        <f t="shared" si="48"/>
        <v>3.935</v>
      </c>
      <c r="M207" s="41">
        <f t="shared" si="48"/>
        <v>0.218</v>
      </c>
      <c r="N207" s="41">
        <f t="shared" si="48"/>
        <v>1.4400000000000002</v>
      </c>
      <c r="O207" s="41">
        <f t="shared" si="48"/>
        <v>254.71</v>
      </c>
      <c r="P207" s="41">
        <f t="shared" si="48"/>
        <v>446.28</v>
      </c>
      <c r="Q207" s="41">
        <f t="shared" si="48"/>
        <v>1.317</v>
      </c>
      <c r="R207" s="41">
        <f t="shared" si="48"/>
        <v>0.021</v>
      </c>
      <c r="S207" s="41">
        <f t="shared" si="48"/>
        <v>102.523</v>
      </c>
      <c r="T207" s="41">
        <f t="shared" si="48"/>
        <v>3.423</v>
      </c>
    </row>
    <row r="208" spans="1:20" s="6" customFormat="1" ht="11.25" customHeight="1">
      <c r="A208" s="161" t="s">
        <v>35</v>
      </c>
      <c r="B208" s="161"/>
      <c r="C208" s="161"/>
      <c r="D208" s="161"/>
      <c r="E208" s="80"/>
      <c r="F208" s="87">
        <f aca="true" t="shared" si="49" ref="F208:T208">F207/F224</f>
        <v>0.18422222222222223</v>
      </c>
      <c r="G208" s="67">
        <f t="shared" si="49"/>
        <v>0.17543478260869566</v>
      </c>
      <c r="H208" s="67">
        <f t="shared" si="49"/>
        <v>0.15099216710182767</v>
      </c>
      <c r="I208" s="67">
        <f t="shared" si="49"/>
        <v>0.16294117647058823</v>
      </c>
      <c r="J208" s="67">
        <f t="shared" si="49"/>
        <v>0.22142857142857145</v>
      </c>
      <c r="K208" s="67">
        <f t="shared" si="49"/>
        <v>0.28624999999999995</v>
      </c>
      <c r="L208" s="67">
        <f t="shared" si="49"/>
        <v>0.05621428571428572</v>
      </c>
      <c r="M208" s="67">
        <f t="shared" si="49"/>
        <v>0.24222222222222223</v>
      </c>
      <c r="N208" s="67">
        <f t="shared" si="49"/>
        <v>0.12000000000000001</v>
      </c>
      <c r="O208" s="67">
        <f t="shared" si="49"/>
        <v>0.21225833333333333</v>
      </c>
      <c r="P208" s="67">
        <f t="shared" si="49"/>
        <v>0.37189999999999995</v>
      </c>
      <c r="Q208" s="67">
        <f t="shared" si="49"/>
        <v>0.09407142857142857</v>
      </c>
      <c r="R208" s="67">
        <f t="shared" si="49"/>
        <v>0.21</v>
      </c>
      <c r="S208" s="67">
        <f t="shared" si="49"/>
        <v>0.34174333333333334</v>
      </c>
      <c r="T208" s="67">
        <f t="shared" si="49"/>
        <v>0.19016666666666668</v>
      </c>
    </row>
    <row r="209" spans="1:20" s="6" customFormat="1" ht="11.25" customHeight="1">
      <c r="A209" s="168" t="s">
        <v>36</v>
      </c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</row>
    <row r="210" spans="1:20" s="6" customFormat="1" ht="11.25" customHeight="1">
      <c r="A210" s="106">
        <v>67</v>
      </c>
      <c r="B210" s="169" t="s">
        <v>101</v>
      </c>
      <c r="C210" s="169"/>
      <c r="D210" s="106">
        <v>60</v>
      </c>
      <c r="E210" s="59">
        <v>8.6</v>
      </c>
      <c r="F210" s="108">
        <f>1.5*D210/60</f>
        <v>1.5</v>
      </c>
      <c r="G210" s="108">
        <f>3.47*D210/60</f>
        <v>3.47</v>
      </c>
      <c r="H210" s="107">
        <f>6.77*D210/60</f>
        <v>6.77</v>
      </c>
      <c r="I210" s="23">
        <f>F210*4+G210*9+H210*4</f>
        <v>64.31</v>
      </c>
      <c r="J210" s="108">
        <f>0.04*D210/60</f>
        <v>0.04</v>
      </c>
      <c r="K210" s="106">
        <f>0.03*D210/60</f>
        <v>0.029999999999999995</v>
      </c>
      <c r="L210" s="108">
        <f>8.6*D210/60</f>
        <v>8.6</v>
      </c>
      <c r="M210" s="108">
        <f>0.74*D210/60</f>
        <v>0.74</v>
      </c>
      <c r="N210" s="108">
        <f>0.2*D210/60</f>
        <v>0.2</v>
      </c>
      <c r="O210" s="109">
        <f>23.39*D210/60</f>
        <v>23.39</v>
      </c>
      <c r="P210" s="109">
        <f>34.04*D210/60</f>
        <v>34.04</v>
      </c>
      <c r="Q210" s="108">
        <f>0.01*D210/60</f>
        <v>0.01</v>
      </c>
      <c r="R210" s="108">
        <f>0.04*D210/60</f>
        <v>0.04</v>
      </c>
      <c r="S210" s="108">
        <f>15.61*D210/60</f>
        <v>15.609999999999998</v>
      </c>
      <c r="T210" s="108">
        <f>0.7*D210/60</f>
        <v>0.7</v>
      </c>
    </row>
    <row r="211" spans="1:20" s="6" customFormat="1" ht="22.5" customHeight="1">
      <c r="A211" s="17">
        <v>103</v>
      </c>
      <c r="B211" s="152" t="s">
        <v>62</v>
      </c>
      <c r="C211" s="152"/>
      <c r="D211" s="26">
        <v>250</v>
      </c>
      <c r="E211" s="23">
        <v>15.73</v>
      </c>
      <c r="F211" s="29">
        <v>2.69</v>
      </c>
      <c r="G211" s="57">
        <v>2.84</v>
      </c>
      <c r="H211" s="57">
        <v>17.14</v>
      </c>
      <c r="I211" s="57">
        <v>104.75</v>
      </c>
      <c r="J211" s="57">
        <v>0.11</v>
      </c>
      <c r="K211" s="57">
        <v>0.21</v>
      </c>
      <c r="L211" s="57">
        <v>8.25</v>
      </c>
      <c r="M211" s="57">
        <v>0</v>
      </c>
      <c r="N211" s="57">
        <v>0.379</v>
      </c>
      <c r="O211" s="57">
        <v>24.6</v>
      </c>
      <c r="P211" s="57">
        <v>66.65</v>
      </c>
      <c r="Q211" s="57">
        <v>0.13</v>
      </c>
      <c r="R211" s="57">
        <v>0.001</v>
      </c>
      <c r="S211" s="57">
        <v>27</v>
      </c>
      <c r="T211" s="57">
        <v>1.09</v>
      </c>
    </row>
    <row r="212" spans="1:20" s="6" customFormat="1" ht="24" customHeight="1">
      <c r="A212" s="17">
        <v>268</v>
      </c>
      <c r="B212" s="152" t="s">
        <v>40</v>
      </c>
      <c r="C212" s="152"/>
      <c r="D212" s="24">
        <v>80</v>
      </c>
      <c r="E212" s="23">
        <v>32.88</v>
      </c>
      <c r="F212" s="29">
        <v>13.460000000000003</v>
      </c>
      <c r="G212" s="31">
        <v>10.86</v>
      </c>
      <c r="H212" s="31">
        <v>5.34</v>
      </c>
      <c r="I212" s="29">
        <v>172.948</v>
      </c>
      <c r="J212" s="29">
        <v>0.07</v>
      </c>
      <c r="K212" s="29">
        <v>0.23000000000000004</v>
      </c>
      <c r="L212" s="29">
        <v>0.75</v>
      </c>
      <c r="M212" s="30">
        <v>0.2</v>
      </c>
      <c r="N212" s="57">
        <v>0.021</v>
      </c>
      <c r="O212" s="29">
        <v>73.74</v>
      </c>
      <c r="P212" s="31">
        <v>184.82</v>
      </c>
      <c r="Q212" s="29">
        <v>2.28</v>
      </c>
      <c r="R212" s="57">
        <v>0.03</v>
      </c>
      <c r="S212" s="29">
        <v>29.860000000000003</v>
      </c>
      <c r="T212" s="29">
        <v>1.9300000000000002</v>
      </c>
    </row>
    <row r="213" spans="1:20" s="6" customFormat="1" ht="12.75" customHeight="1">
      <c r="A213" s="32">
        <v>171</v>
      </c>
      <c r="B213" s="152" t="s">
        <v>102</v>
      </c>
      <c r="C213" s="152"/>
      <c r="D213" s="24">
        <v>180</v>
      </c>
      <c r="E213" s="23">
        <v>14.94</v>
      </c>
      <c r="F213" s="29">
        <v>7.884</v>
      </c>
      <c r="G213" s="29">
        <v>5.028</v>
      </c>
      <c r="H213" s="29">
        <v>38.784</v>
      </c>
      <c r="I213" s="29">
        <v>231.924</v>
      </c>
      <c r="J213" s="57">
        <v>0.072</v>
      </c>
      <c r="K213" s="57">
        <v>0.036</v>
      </c>
      <c r="L213" s="30">
        <v>0</v>
      </c>
      <c r="M213" s="57">
        <v>0.036</v>
      </c>
      <c r="N213" s="30">
        <v>3.06</v>
      </c>
      <c r="O213" s="29">
        <v>21.744</v>
      </c>
      <c r="P213" s="29">
        <v>188.436</v>
      </c>
      <c r="Q213" s="57">
        <v>1.068</v>
      </c>
      <c r="R213" s="57">
        <v>0.002</v>
      </c>
      <c r="S213" s="29">
        <v>125.34</v>
      </c>
      <c r="T213" s="29">
        <v>4.26</v>
      </c>
    </row>
    <row r="214" spans="1:20" s="6" customFormat="1" ht="24" customHeight="1">
      <c r="A214" s="17">
        <v>345</v>
      </c>
      <c r="B214" s="152" t="s">
        <v>65</v>
      </c>
      <c r="C214" s="152"/>
      <c r="D214" s="24">
        <v>200</v>
      </c>
      <c r="E214" s="23">
        <v>5.5</v>
      </c>
      <c r="F214" s="29">
        <v>0.06</v>
      </c>
      <c r="G214" s="29">
        <v>0.02</v>
      </c>
      <c r="H214" s="29">
        <v>20.73</v>
      </c>
      <c r="I214" s="29">
        <v>83.34</v>
      </c>
      <c r="J214" s="30">
        <v>0</v>
      </c>
      <c r="K214" s="30">
        <v>0</v>
      </c>
      <c r="L214" s="31">
        <v>2.5</v>
      </c>
      <c r="M214" s="30">
        <v>0.004</v>
      </c>
      <c r="N214" s="30">
        <v>0.2</v>
      </c>
      <c r="O214" s="31">
        <v>4</v>
      </c>
      <c r="P214" s="31">
        <v>3.3</v>
      </c>
      <c r="Q214" s="31">
        <v>0.08</v>
      </c>
      <c r="R214" s="31">
        <v>0.001</v>
      </c>
      <c r="S214" s="31">
        <v>1.7</v>
      </c>
      <c r="T214" s="29">
        <v>0.15</v>
      </c>
    </row>
    <row r="215" spans="1:20" s="6" customFormat="1" ht="11.25" customHeight="1">
      <c r="A215" s="59" t="s">
        <v>30</v>
      </c>
      <c r="B215" s="152" t="s">
        <v>43</v>
      </c>
      <c r="C215" s="152"/>
      <c r="D215" s="24">
        <v>50</v>
      </c>
      <c r="E215" s="23">
        <v>2.35</v>
      </c>
      <c r="F215" s="23">
        <f>2.64*D215/40</f>
        <v>3.3</v>
      </c>
      <c r="G215" s="23">
        <f>0.48*D215/40</f>
        <v>0.6</v>
      </c>
      <c r="H215" s="23">
        <f>13.68*D215/40</f>
        <v>17.1</v>
      </c>
      <c r="I215" s="61">
        <f>F215*4+G215*9+H215*4</f>
        <v>87</v>
      </c>
      <c r="J215" s="26">
        <f>0.08*D215/40</f>
        <v>0.1</v>
      </c>
      <c r="K215" s="23">
        <f>0.04*D215/40</f>
        <v>0.05</v>
      </c>
      <c r="L215" s="24">
        <v>0</v>
      </c>
      <c r="M215" s="24">
        <v>0</v>
      </c>
      <c r="N215" s="23">
        <f>2.4*D215/40</f>
        <v>3</v>
      </c>
      <c r="O215" s="23">
        <f>14*D215/40</f>
        <v>17.5</v>
      </c>
      <c r="P215" s="23">
        <f>63.2*D215/40</f>
        <v>79</v>
      </c>
      <c r="Q215" s="23">
        <f>1.2*D215/40</f>
        <v>1.5</v>
      </c>
      <c r="R215" s="25">
        <f>0.001*D215/40</f>
        <v>0.00125</v>
      </c>
      <c r="S215" s="23">
        <f>9.4*D215/40</f>
        <v>11.75</v>
      </c>
      <c r="T215" s="26">
        <f>0.78*D215/40</f>
        <v>0.975</v>
      </c>
    </row>
    <row r="216" spans="1:20" s="6" customFormat="1" ht="11.25" customHeight="1">
      <c r="A216" s="62" t="s">
        <v>45</v>
      </c>
      <c r="B216" s="63"/>
      <c r="C216" s="63"/>
      <c r="D216" s="38">
        <f aca="true" t="shared" si="50" ref="D216:T216">SUM(D210:D215)</f>
        <v>820</v>
      </c>
      <c r="E216" s="40">
        <f t="shared" si="50"/>
        <v>80</v>
      </c>
      <c r="F216" s="41">
        <f t="shared" si="50"/>
        <v>28.894000000000002</v>
      </c>
      <c r="G216" s="41">
        <f t="shared" si="50"/>
        <v>22.818</v>
      </c>
      <c r="H216" s="41">
        <f t="shared" si="50"/>
        <v>105.864</v>
      </c>
      <c r="I216" s="41">
        <f t="shared" si="50"/>
        <v>744.272</v>
      </c>
      <c r="J216" s="41">
        <f t="shared" si="50"/>
        <v>0.392</v>
      </c>
      <c r="K216" s="41">
        <f t="shared" si="50"/>
        <v>0.556</v>
      </c>
      <c r="L216" s="41">
        <f t="shared" si="50"/>
        <v>20.1</v>
      </c>
      <c r="M216" s="41">
        <f t="shared" si="50"/>
        <v>0.98</v>
      </c>
      <c r="N216" s="41">
        <f t="shared" si="50"/>
        <v>6.86</v>
      </c>
      <c r="O216" s="41">
        <f t="shared" si="50"/>
        <v>164.974</v>
      </c>
      <c r="P216" s="41">
        <f t="shared" si="50"/>
        <v>556.2460000000001</v>
      </c>
      <c r="Q216" s="41">
        <f t="shared" si="50"/>
        <v>5.068</v>
      </c>
      <c r="R216" s="41">
        <f t="shared" si="50"/>
        <v>0.07525000000000001</v>
      </c>
      <c r="S216" s="41">
        <f t="shared" si="50"/>
        <v>211.26</v>
      </c>
      <c r="T216" s="41">
        <f t="shared" si="50"/>
        <v>9.105</v>
      </c>
    </row>
    <row r="217" spans="1:20" s="6" customFormat="1" ht="11.25" customHeight="1">
      <c r="A217" s="161" t="s">
        <v>35</v>
      </c>
      <c r="B217" s="161"/>
      <c r="C217" s="161"/>
      <c r="D217" s="161"/>
      <c r="E217" s="80"/>
      <c r="F217" s="87">
        <f aca="true" t="shared" si="51" ref="F217:T217">F216/F224</f>
        <v>0.32104444444444447</v>
      </c>
      <c r="G217" s="67">
        <f t="shared" si="51"/>
        <v>0.2480217391304348</v>
      </c>
      <c r="H217" s="67">
        <f t="shared" si="51"/>
        <v>0.27640731070496083</v>
      </c>
      <c r="I217" s="67">
        <f t="shared" si="51"/>
        <v>0.2736294117647059</v>
      </c>
      <c r="J217" s="67">
        <f t="shared" si="51"/>
        <v>0.28</v>
      </c>
      <c r="K217" s="67">
        <f t="shared" si="51"/>
        <v>0.34750000000000003</v>
      </c>
      <c r="L217" s="67">
        <f t="shared" si="51"/>
        <v>0.28714285714285714</v>
      </c>
      <c r="M217" s="67">
        <f t="shared" si="51"/>
        <v>1.0888888888888888</v>
      </c>
      <c r="N217" s="67">
        <f t="shared" si="51"/>
        <v>0.5716666666666667</v>
      </c>
      <c r="O217" s="67">
        <f t="shared" si="51"/>
        <v>0.1374783333333333</v>
      </c>
      <c r="P217" s="67">
        <f t="shared" si="51"/>
        <v>0.4635383333333334</v>
      </c>
      <c r="Q217" s="67">
        <f t="shared" si="51"/>
        <v>0.362</v>
      </c>
      <c r="R217" s="67">
        <f t="shared" si="51"/>
        <v>0.7525000000000001</v>
      </c>
      <c r="S217" s="67">
        <f t="shared" si="51"/>
        <v>0.7041999999999999</v>
      </c>
      <c r="T217" s="67">
        <f t="shared" si="51"/>
        <v>0.5058333333333334</v>
      </c>
    </row>
    <row r="218" spans="1:20" s="6" customFormat="1" ht="11.25" customHeight="1">
      <c r="A218" s="151" t="s">
        <v>46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</row>
    <row r="219" spans="1:20" s="6" customFormat="1" ht="11.25" customHeight="1">
      <c r="A219" s="17"/>
      <c r="B219" s="152" t="s">
        <v>103</v>
      </c>
      <c r="C219" s="152"/>
      <c r="D219" s="24">
        <v>75</v>
      </c>
      <c r="E219" s="23">
        <v>26.4</v>
      </c>
      <c r="F219" s="23">
        <v>5.2</v>
      </c>
      <c r="G219" s="23">
        <v>5.82</v>
      </c>
      <c r="H219" s="23">
        <v>37.5</v>
      </c>
      <c r="I219" s="23">
        <f>F219*4+G219*9+H219*4</f>
        <v>223.18</v>
      </c>
      <c r="J219" s="23">
        <v>0.06</v>
      </c>
      <c r="K219" s="23">
        <v>0.02</v>
      </c>
      <c r="L219" s="61">
        <v>0.9</v>
      </c>
      <c r="M219" s="23">
        <v>0.01</v>
      </c>
      <c r="N219" s="26">
        <v>0</v>
      </c>
      <c r="O219" s="61">
        <v>21.42</v>
      </c>
      <c r="P219" s="23">
        <v>113.9</v>
      </c>
      <c r="Q219" s="61">
        <v>1</v>
      </c>
      <c r="R219" s="24">
        <v>0</v>
      </c>
      <c r="S219" s="23">
        <v>21.14</v>
      </c>
      <c r="T219" s="23">
        <v>0.58</v>
      </c>
    </row>
    <row r="220" spans="1:20" s="6" customFormat="1" ht="12" customHeight="1">
      <c r="A220" s="34">
        <v>377</v>
      </c>
      <c r="B220" s="148" t="s">
        <v>48</v>
      </c>
      <c r="C220" s="148"/>
      <c r="D220" s="58">
        <v>200</v>
      </c>
      <c r="E220" s="29">
        <v>3.6</v>
      </c>
      <c r="F220" s="128">
        <v>0.26</v>
      </c>
      <c r="G220" s="128">
        <v>0.06</v>
      </c>
      <c r="H220" s="128">
        <v>15.22</v>
      </c>
      <c r="I220" s="128">
        <v>62.46</v>
      </c>
      <c r="J220" s="128">
        <v>0</v>
      </c>
      <c r="K220" s="128">
        <v>0.01</v>
      </c>
      <c r="L220" s="128">
        <v>2.9</v>
      </c>
      <c r="M220" s="129">
        <v>0</v>
      </c>
      <c r="N220" s="128">
        <v>0.06</v>
      </c>
      <c r="O220" s="128">
        <v>8.05</v>
      </c>
      <c r="P220" s="128">
        <v>9.78</v>
      </c>
      <c r="Q220" s="128">
        <v>0.017</v>
      </c>
      <c r="R220" s="133">
        <v>0</v>
      </c>
      <c r="S220" s="128">
        <v>5.24</v>
      </c>
      <c r="T220" s="128">
        <v>0.87</v>
      </c>
    </row>
    <row r="221" spans="1:20" s="9" customFormat="1" ht="11.25" customHeight="1">
      <c r="A221" s="62" t="s">
        <v>49</v>
      </c>
      <c r="B221" s="63"/>
      <c r="C221" s="63"/>
      <c r="D221" s="39">
        <f aca="true" t="shared" si="52" ref="D221:T221">SUM(D219:D220)</f>
        <v>275</v>
      </c>
      <c r="E221" s="40">
        <f t="shared" si="52"/>
        <v>30</v>
      </c>
      <c r="F221" s="41">
        <f t="shared" si="52"/>
        <v>5.46</v>
      </c>
      <c r="G221" s="42">
        <f t="shared" si="52"/>
        <v>5.88</v>
      </c>
      <c r="H221" s="42">
        <f t="shared" si="52"/>
        <v>52.72</v>
      </c>
      <c r="I221" s="42">
        <f t="shared" si="52"/>
        <v>285.64</v>
      </c>
      <c r="J221" s="41">
        <f t="shared" si="52"/>
        <v>0.06</v>
      </c>
      <c r="K221" s="41">
        <f t="shared" si="52"/>
        <v>0.03</v>
      </c>
      <c r="L221" s="82">
        <f t="shared" si="52"/>
        <v>3.8</v>
      </c>
      <c r="M221" s="42">
        <f t="shared" si="52"/>
        <v>0.01</v>
      </c>
      <c r="N221" s="42">
        <f t="shared" si="52"/>
        <v>0.06</v>
      </c>
      <c r="O221" s="42">
        <f t="shared" si="52"/>
        <v>29.470000000000002</v>
      </c>
      <c r="P221" s="42">
        <f t="shared" si="52"/>
        <v>123.68</v>
      </c>
      <c r="Q221" s="42">
        <f t="shared" si="52"/>
        <v>1.017</v>
      </c>
      <c r="R221" s="41">
        <f t="shared" si="52"/>
        <v>0</v>
      </c>
      <c r="S221" s="42">
        <f t="shared" si="52"/>
        <v>26.380000000000003</v>
      </c>
      <c r="T221" s="41">
        <f t="shared" si="52"/>
        <v>1.45</v>
      </c>
    </row>
    <row r="222" spans="1:20" s="9" customFormat="1" ht="11.25" customHeight="1">
      <c r="A222" s="161" t="s">
        <v>35</v>
      </c>
      <c r="B222" s="161"/>
      <c r="C222" s="161"/>
      <c r="D222" s="161"/>
      <c r="E222" s="44"/>
      <c r="F222" s="66">
        <f aca="true" t="shared" si="53" ref="F222:T222">F221/F224</f>
        <v>0.06066666666666667</v>
      </c>
      <c r="G222" s="67">
        <f t="shared" si="53"/>
        <v>0.06391304347826086</v>
      </c>
      <c r="H222" s="67">
        <f t="shared" si="53"/>
        <v>0.13765013054830286</v>
      </c>
      <c r="I222" s="67">
        <f t="shared" si="53"/>
        <v>0.10501470588235294</v>
      </c>
      <c r="J222" s="67">
        <f t="shared" si="53"/>
        <v>0.04285714285714286</v>
      </c>
      <c r="K222" s="67">
        <f t="shared" si="53"/>
        <v>0.01875</v>
      </c>
      <c r="L222" s="67">
        <f t="shared" si="53"/>
        <v>0.054285714285714284</v>
      </c>
      <c r="M222" s="67">
        <f t="shared" si="53"/>
        <v>0.011111111111111112</v>
      </c>
      <c r="N222" s="67">
        <f t="shared" si="53"/>
        <v>0.005</v>
      </c>
      <c r="O222" s="67">
        <f t="shared" si="53"/>
        <v>0.024558333333333335</v>
      </c>
      <c r="P222" s="67">
        <f t="shared" si="53"/>
        <v>0.10306666666666667</v>
      </c>
      <c r="Q222" s="67">
        <f t="shared" si="53"/>
        <v>0.07264285714285713</v>
      </c>
      <c r="R222" s="67">
        <f t="shared" si="53"/>
        <v>0</v>
      </c>
      <c r="S222" s="67">
        <f t="shared" si="53"/>
        <v>0.08793333333333334</v>
      </c>
      <c r="T222" s="67">
        <f t="shared" si="53"/>
        <v>0.08055555555555555</v>
      </c>
    </row>
    <row r="223" spans="1:20" s="9" customFormat="1" ht="11.25" customHeight="1">
      <c r="A223" s="157" t="s">
        <v>50</v>
      </c>
      <c r="B223" s="157"/>
      <c r="C223" s="157"/>
      <c r="D223" s="157"/>
      <c r="E223" s="44"/>
      <c r="F223" s="41">
        <f aca="true" t="shared" si="54" ref="F223:T223">SUM(F207,F216,F221)</f>
        <v>50.934000000000005</v>
      </c>
      <c r="G223" s="42">
        <f t="shared" si="54"/>
        <v>44.838</v>
      </c>
      <c r="H223" s="42">
        <f t="shared" si="54"/>
        <v>216.41400000000002</v>
      </c>
      <c r="I223" s="42">
        <f t="shared" si="54"/>
        <v>1473.112</v>
      </c>
      <c r="J223" s="41">
        <f t="shared" si="54"/>
        <v>0.762</v>
      </c>
      <c r="K223" s="41">
        <f t="shared" si="54"/>
        <v>1.044</v>
      </c>
      <c r="L223" s="42">
        <f t="shared" si="54"/>
        <v>27.835</v>
      </c>
      <c r="M223" s="41">
        <f t="shared" si="54"/>
        <v>1.208</v>
      </c>
      <c r="N223" s="41">
        <f t="shared" si="54"/>
        <v>8.360000000000001</v>
      </c>
      <c r="O223" s="42">
        <f t="shared" si="54"/>
        <v>449.154</v>
      </c>
      <c r="P223" s="42">
        <f t="shared" si="54"/>
        <v>1126.2060000000001</v>
      </c>
      <c r="Q223" s="41">
        <f t="shared" si="54"/>
        <v>7.401999999999999</v>
      </c>
      <c r="R223" s="43">
        <f t="shared" si="54"/>
        <v>0.09625000000000002</v>
      </c>
      <c r="S223" s="41">
        <f t="shared" si="54"/>
        <v>340.163</v>
      </c>
      <c r="T223" s="41">
        <f t="shared" si="54"/>
        <v>13.978</v>
      </c>
    </row>
    <row r="224" spans="1:20" s="9" customFormat="1" ht="11.25" customHeight="1">
      <c r="A224" s="157" t="s">
        <v>51</v>
      </c>
      <c r="B224" s="157"/>
      <c r="C224" s="157"/>
      <c r="D224" s="157"/>
      <c r="E224" s="44"/>
      <c r="F224" s="23">
        <v>90</v>
      </c>
      <c r="G224" s="61">
        <v>92</v>
      </c>
      <c r="H224" s="61">
        <v>383</v>
      </c>
      <c r="I224" s="61">
        <v>2720</v>
      </c>
      <c r="J224" s="23">
        <v>1.4</v>
      </c>
      <c r="K224" s="23">
        <v>1.6</v>
      </c>
      <c r="L224" s="24">
        <v>70</v>
      </c>
      <c r="M224" s="23">
        <v>0.9</v>
      </c>
      <c r="N224" s="24">
        <v>12</v>
      </c>
      <c r="O224" s="24">
        <v>1200</v>
      </c>
      <c r="P224" s="24">
        <v>1200</v>
      </c>
      <c r="Q224" s="24">
        <v>14</v>
      </c>
      <c r="R224" s="61">
        <v>0.1</v>
      </c>
      <c r="S224" s="24">
        <v>300</v>
      </c>
      <c r="T224" s="23">
        <v>18</v>
      </c>
    </row>
    <row r="225" spans="1:20" s="9" customFormat="1" ht="11.25" customHeight="1">
      <c r="A225" s="161" t="s">
        <v>35</v>
      </c>
      <c r="B225" s="161"/>
      <c r="C225" s="161"/>
      <c r="D225" s="161"/>
      <c r="E225" s="44"/>
      <c r="F225" s="66">
        <f aca="true" t="shared" si="55" ref="F225:T225">F223/F224</f>
        <v>0.5659333333333334</v>
      </c>
      <c r="G225" s="67">
        <f t="shared" si="55"/>
        <v>0.48736956521739133</v>
      </c>
      <c r="H225" s="67">
        <f t="shared" si="55"/>
        <v>0.5650496083550914</v>
      </c>
      <c r="I225" s="67">
        <f t="shared" si="55"/>
        <v>0.5415852941176471</v>
      </c>
      <c r="J225" s="67">
        <f t="shared" si="55"/>
        <v>0.5442857142857144</v>
      </c>
      <c r="K225" s="67">
        <f t="shared" si="55"/>
        <v>0.6525</v>
      </c>
      <c r="L225" s="67">
        <f t="shared" si="55"/>
        <v>0.39764285714285713</v>
      </c>
      <c r="M225" s="68">
        <f t="shared" si="55"/>
        <v>1.3422222222222222</v>
      </c>
      <c r="N225" s="67">
        <f t="shared" si="55"/>
        <v>0.6966666666666668</v>
      </c>
      <c r="O225" s="67">
        <f t="shared" si="55"/>
        <v>0.374295</v>
      </c>
      <c r="P225" s="67">
        <f t="shared" si="55"/>
        <v>0.9385050000000001</v>
      </c>
      <c r="Q225" s="67">
        <f t="shared" si="55"/>
        <v>0.5287142857142857</v>
      </c>
      <c r="R225" s="68">
        <f t="shared" si="55"/>
        <v>0.9625000000000001</v>
      </c>
      <c r="S225" s="67">
        <f t="shared" si="55"/>
        <v>1.1338766666666666</v>
      </c>
      <c r="T225" s="68">
        <f t="shared" si="55"/>
        <v>0.7765555555555556</v>
      </c>
    </row>
    <row r="226" spans="1:20" s="9" customFormat="1" ht="11.25" customHeight="1">
      <c r="A226" s="5"/>
      <c r="B226" s="5"/>
      <c r="C226" s="69"/>
      <c r="D226" s="69"/>
      <c r="E226" s="70"/>
      <c r="F226" s="11"/>
      <c r="G226" s="6"/>
      <c r="H226" s="8"/>
      <c r="I226" s="8"/>
      <c r="J226" s="6"/>
      <c r="K226" s="6"/>
      <c r="L226" s="6"/>
      <c r="M226" s="143" t="s">
        <v>0</v>
      </c>
      <c r="N226" s="143"/>
      <c r="O226" s="143"/>
      <c r="P226" s="143"/>
      <c r="Q226" s="143"/>
      <c r="R226" s="143"/>
      <c r="S226" s="143"/>
      <c r="T226" s="143"/>
    </row>
    <row r="227" spans="1:20" s="9" customFormat="1" ht="11.25" customHeight="1">
      <c r="A227" s="158" t="s">
        <v>104</v>
      </c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</row>
    <row r="228" spans="1:20" s="9" customFormat="1" ht="11.25" customHeight="1">
      <c r="A228" s="10" t="s">
        <v>70</v>
      </c>
      <c r="B228" s="5"/>
      <c r="C228" s="5"/>
      <c r="D228" s="8"/>
      <c r="E228" s="11"/>
      <c r="F228" s="7"/>
      <c r="G228" s="145" t="s">
        <v>71</v>
      </c>
      <c r="H228" s="145"/>
      <c r="I228" s="145"/>
      <c r="J228" s="6"/>
      <c r="K228" s="6"/>
      <c r="L228" s="146"/>
      <c r="M228" s="146"/>
      <c r="N228" s="147"/>
      <c r="O228" s="147"/>
      <c r="P228" s="147"/>
      <c r="Q228" s="147"/>
      <c r="R228" s="6"/>
      <c r="S228" s="6"/>
      <c r="T228" s="6"/>
    </row>
    <row r="229" spans="1:20" s="9" customFormat="1" ht="11.25" customHeight="1">
      <c r="A229" s="5"/>
      <c r="B229" s="5"/>
      <c r="C229" s="5"/>
      <c r="D229" s="162" t="s">
        <v>4</v>
      </c>
      <c r="E229" s="162"/>
      <c r="F229" s="162"/>
      <c r="G229" s="12">
        <v>2</v>
      </c>
      <c r="H229" s="6"/>
      <c r="I229" s="8"/>
      <c r="J229" s="8"/>
      <c r="K229" s="8"/>
      <c r="L229" s="162"/>
      <c r="M229" s="162"/>
      <c r="N229" s="145"/>
      <c r="O229" s="145"/>
      <c r="P229" s="145"/>
      <c r="Q229" s="145"/>
      <c r="R229" s="145"/>
      <c r="S229" s="145"/>
      <c r="T229" s="145"/>
    </row>
    <row r="230" spans="1:20" s="9" customFormat="1" ht="21.75" customHeight="1">
      <c r="A230" s="149" t="s">
        <v>54</v>
      </c>
      <c r="B230" s="149" t="s">
        <v>55</v>
      </c>
      <c r="C230" s="149"/>
      <c r="D230" s="149" t="s">
        <v>7</v>
      </c>
      <c r="E230" s="85"/>
      <c r="F230" s="149" t="s">
        <v>8</v>
      </c>
      <c r="G230" s="149"/>
      <c r="H230" s="149"/>
      <c r="I230" s="149" t="s">
        <v>9</v>
      </c>
      <c r="J230" s="149" t="s">
        <v>10</v>
      </c>
      <c r="K230" s="149"/>
      <c r="L230" s="149"/>
      <c r="M230" s="149"/>
      <c r="N230" s="149"/>
      <c r="O230" s="149" t="s">
        <v>11</v>
      </c>
      <c r="P230" s="149"/>
      <c r="Q230" s="149"/>
      <c r="R230" s="149"/>
      <c r="S230" s="149"/>
      <c r="T230" s="149"/>
    </row>
    <row r="231" spans="1:20" s="9" customFormat="1" ht="21" customHeight="1">
      <c r="A231" s="149"/>
      <c r="B231" s="149"/>
      <c r="C231" s="149"/>
      <c r="D231" s="149"/>
      <c r="E231" s="15"/>
      <c r="F231" s="16" t="s">
        <v>12</v>
      </c>
      <c r="G231" s="13" t="s">
        <v>13</v>
      </c>
      <c r="H231" s="13" t="s">
        <v>14</v>
      </c>
      <c r="I231" s="149"/>
      <c r="J231" s="13" t="s">
        <v>15</v>
      </c>
      <c r="K231" s="13" t="s">
        <v>16</v>
      </c>
      <c r="L231" s="13" t="s">
        <v>17</v>
      </c>
      <c r="M231" s="13" t="s">
        <v>18</v>
      </c>
      <c r="N231" s="13" t="s">
        <v>19</v>
      </c>
      <c r="O231" s="13" t="s">
        <v>20</v>
      </c>
      <c r="P231" s="13" t="s">
        <v>21</v>
      </c>
      <c r="Q231" s="13" t="s">
        <v>22</v>
      </c>
      <c r="R231" s="13" t="s">
        <v>23</v>
      </c>
      <c r="S231" s="13" t="s">
        <v>24</v>
      </c>
      <c r="T231" s="13" t="s">
        <v>25</v>
      </c>
    </row>
    <row r="232" spans="1:20" s="9" customFormat="1" ht="11.25" customHeight="1">
      <c r="A232" s="17">
        <v>1</v>
      </c>
      <c r="B232" s="150">
        <v>2</v>
      </c>
      <c r="C232" s="150"/>
      <c r="D232" s="18">
        <v>3</v>
      </c>
      <c r="E232" s="19"/>
      <c r="F232" s="18">
        <v>4</v>
      </c>
      <c r="G232" s="18">
        <v>5</v>
      </c>
      <c r="H232" s="18">
        <v>6</v>
      </c>
      <c r="I232" s="18">
        <v>7</v>
      </c>
      <c r="J232" s="18">
        <v>8</v>
      </c>
      <c r="K232" s="18">
        <v>9</v>
      </c>
      <c r="L232" s="18">
        <v>10</v>
      </c>
      <c r="M232" s="18">
        <v>11</v>
      </c>
      <c r="N232" s="18">
        <v>12</v>
      </c>
      <c r="O232" s="18">
        <v>13</v>
      </c>
      <c r="P232" s="18">
        <v>14</v>
      </c>
      <c r="Q232" s="18">
        <v>15</v>
      </c>
      <c r="R232" s="18">
        <v>16</v>
      </c>
      <c r="S232" s="18">
        <v>17</v>
      </c>
      <c r="T232" s="18">
        <v>18</v>
      </c>
    </row>
    <row r="233" spans="1:20" s="9" customFormat="1" ht="11.25" customHeight="1">
      <c r="A233" s="151" t="s">
        <v>26</v>
      </c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</row>
    <row r="234" spans="1:20" s="6" customFormat="1" ht="12.75" customHeight="1">
      <c r="A234" s="142" t="s">
        <v>30</v>
      </c>
      <c r="B234" s="170" t="s">
        <v>122</v>
      </c>
      <c r="C234" s="170"/>
      <c r="D234" s="134">
        <v>50</v>
      </c>
      <c r="E234" s="128">
        <v>15</v>
      </c>
      <c r="F234" s="128">
        <v>11.599999999999998</v>
      </c>
      <c r="G234" s="128">
        <v>17</v>
      </c>
      <c r="H234" s="128">
        <v>0.05</v>
      </c>
      <c r="I234" s="128">
        <v>199.59999999999997</v>
      </c>
      <c r="J234" s="128">
        <v>0.02</v>
      </c>
      <c r="K234" s="128">
        <v>0.15</v>
      </c>
      <c r="L234" s="128">
        <v>0.35000000000000003</v>
      </c>
      <c r="M234" s="133">
        <v>0.11499999999999999</v>
      </c>
      <c r="N234" s="128">
        <v>0.25</v>
      </c>
      <c r="O234" s="128">
        <v>440</v>
      </c>
      <c r="P234" s="128">
        <v>250</v>
      </c>
      <c r="Q234" s="128">
        <v>2</v>
      </c>
      <c r="R234" s="133">
        <v>0.1</v>
      </c>
      <c r="S234" s="128">
        <v>17.5</v>
      </c>
      <c r="T234" s="128">
        <v>0.65</v>
      </c>
    </row>
    <row r="235" spans="1:20" s="6" customFormat="1" ht="21" customHeight="1">
      <c r="A235" s="132">
        <v>175</v>
      </c>
      <c r="B235" s="153" t="s">
        <v>123</v>
      </c>
      <c r="C235" s="153"/>
      <c r="D235" s="134">
        <v>200</v>
      </c>
      <c r="E235" s="128">
        <v>18.12</v>
      </c>
      <c r="F235" s="128">
        <v>10.44</v>
      </c>
      <c r="G235" s="128">
        <v>11.11</v>
      </c>
      <c r="H235" s="128">
        <v>41.3</v>
      </c>
      <c r="I235" s="128">
        <v>207</v>
      </c>
      <c r="J235" s="128">
        <v>0.26</v>
      </c>
      <c r="K235" s="128">
        <v>0.18</v>
      </c>
      <c r="L235" s="128">
        <v>1.2</v>
      </c>
      <c r="M235" s="133">
        <v>81</v>
      </c>
      <c r="N235" s="128">
        <v>1.3</v>
      </c>
      <c r="O235" s="130">
        <v>158.6</v>
      </c>
      <c r="P235" s="130">
        <v>257.3</v>
      </c>
      <c r="Q235" s="134">
        <v>0</v>
      </c>
      <c r="R235" s="130">
        <v>0</v>
      </c>
      <c r="S235" s="130">
        <v>86.7</v>
      </c>
      <c r="T235" s="128">
        <v>2.75</v>
      </c>
    </row>
    <row r="236" spans="1:20" s="6" customFormat="1" ht="11.25" customHeight="1">
      <c r="A236" s="132">
        <v>377</v>
      </c>
      <c r="B236" s="153" t="s">
        <v>48</v>
      </c>
      <c r="C236" s="153"/>
      <c r="D236" s="134">
        <v>200</v>
      </c>
      <c r="E236" s="128">
        <v>3.6</v>
      </c>
      <c r="F236" s="128">
        <v>0.26</v>
      </c>
      <c r="G236" s="128">
        <v>0.06</v>
      </c>
      <c r="H236" s="128">
        <v>15.22</v>
      </c>
      <c r="I236" s="128">
        <v>62.46</v>
      </c>
      <c r="J236" s="128">
        <v>0</v>
      </c>
      <c r="K236" s="128">
        <v>0.01</v>
      </c>
      <c r="L236" s="128">
        <v>2.9</v>
      </c>
      <c r="M236" s="129">
        <v>0</v>
      </c>
      <c r="N236" s="128">
        <v>0.06</v>
      </c>
      <c r="O236" s="128">
        <v>8.05</v>
      </c>
      <c r="P236" s="128">
        <v>9.78</v>
      </c>
      <c r="Q236" s="128">
        <v>0.017</v>
      </c>
      <c r="R236" s="133">
        <v>0</v>
      </c>
      <c r="S236" s="128">
        <v>5.24</v>
      </c>
      <c r="T236" s="128">
        <v>0.87</v>
      </c>
    </row>
    <row r="237" spans="1:20" s="6" customFormat="1" ht="11.25" customHeight="1">
      <c r="A237" s="32" t="s">
        <v>30</v>
      </c>
      <c r="B237" s="152" t="s">
        <v>33</v>
      </c>
      <c r="C237" s="152"/>
      <c r="D237" s="24">
        <v>20</v>
      </c>
      <c r="E237" s="23">
        <v>16.91</v>
      </c>
      <c r="F237" s="33">
        <v>0.65</v>
      </c>
      <c r="G237" s="34">
        <v>3.8</v>
      </c>
      <c r="H237" s="35">
        <v>17.6</v>
      </c>
      <c r="I237" s="33">
        <v>38</v>
      </c>
      <c r="J237" s="33">
        <v>0.026</v>
      </c>
      <c r="K237" s="33">
        <v>0.03</v>
      </c>
      <c r="L237" s="33">
        <v>0.13</v>
      </c>
      <c r="M237" s="33">
        <v>11.96</v>
      </c>
      <c r="N237" s="34">
        <v>0.39</v>
      </c>
      <c r="O237" s="33">
        <v>24.18</v>
      </c>
      <c r="P237" s="33">
        <v>49.4</v>
      </c>
      <c r="Q237" s="36">
        <v>0.2</v>
      </c>
      <c r="R237" s="33">
        <v>0.002</v>
      </c>
      <c r="S237" s="33">
        <v>18.72</v>
      </c>
      <c r="T237" s="33">
        <v>0.182</v>
      </c>
    </row>
    <row r="238" spans="1:20" s="6" customFormat="1" ht="11.25" customHeight="1">
      <c r="A238" s="27" t="s">
        <v>30</v>
      </c>
      <c r="B238" s="171" t="s">
        <v>31</v>
      </c>
      <c r="C238" s="171"/>
      <c r="D238" s="28" t="s">
        <v>32</v>
      </c>
      <c r="E238" s="23"/>
      <c r="F238" s="33">
        <v>5.6</v>
      </c>
      <c r="G238" s="34">
        <v>6.4</v>
      </c>
      <c r="H238" s="35">
        <v>9.4</v>
      </c>
      <c r="I238" s="33">
        <v>117.6</v>
      </c>
      <c r="J238" s="33">
        <v>0.08</v>
      </c>
      <c r="K238" s="33">
        <v>0.307</v>
      </c>
      <c r="L238" s="33">
        <v>2.6</v>
      </c>
      <c r="M238" s="33">
        <v>0.067</v>
      </c>
      <c r="N238" s="34">
        <v>0.292</v>
      </c>
      <c r="O238" s="33">
        <v>240</v>
      </c>
      <c r="P238" s="33">
        <v>180</v>
      </c>
      <c r="Q238" s="36">
        <v>0.8</v>
      </c>
      <c r="R238" s="33">
        <v>0.018</v>
      </c>
      <c r="S238" s="33">
        <v>28</v>
      </c>
      <c r="T238" s="33">
        <v>0.12</v>
      </c>
    </row>
    <row r="239" spans="1:20" s="6" customFormat="1" ht="11.25" customHeight="1">
      <c r="A239" s="105" t="s">
        <v>34</v>
      </c>
      <c r="B239" s="86"/>
      <c r="C239" s="86"/>
      <c r="D239" s="39">
        <v>670</v>
      </c>
      <c r="E239" s="40">
        <f>SUM(E234:E237)</f>
        <v>53.63000000000001</v>
      </c>
      <c r="F239" s="41">
        <f>SUM(F234:F238)</f>
        <v>28.549999999999997</v>
      </c>
      <c r="G239" s="41">
        <f aca="true" t="shared" si="56" ref="G239:T239">SUM(G234:G238)</f>
        <v>38.37</v>
      </c>
      <c r="H239" s="41">
        <f t="shared" si="56"/>
        <v>83.57</v>
      </c>
      <c r="I239" s="41">
        <f t="shared" si="56"/>
        <v>624.66</v>
      </c>
      <c r="J239" s="41">
        <f t="shared" si="56"/>
        <v>0.38600000000000007</v>
      </c>
      <c r="K239" s="41">
        <f t="shared" si="56"/>
        <v>0.677</v>
      </c>
      <c r="L239" s="41">
        <f t="shared" si="56"/>
        <v>7.18</v>
      </c>
      <c r="M239" s="41">
        <f t="shared" si="56"/>
        <v>93.14199999999998</v>
      </c>
      <c r="N239" s="41">
        <f t="shared" si="56"/>
        <v>2.292</v>
      </c>
      <c r="O239" s="41">
        <f t="shared" si="56"/>
        <v>870.8299999999999</v>
      </c>
      <c r="P239" s="41">
        <f t="shared" si="56"/>
        <v>746.48</v>
      </c>
      <c r="Q239" s="41">
        <f t="shared" si="56"/>
        <v>3.0170000000000003</v>
      </c>
      <c r="R239" s="41">
        <f t="shared" si="56"/>
        <v>0.12000000000000001</v>
      </c>
      <c r="S239" s="41">
        <f t="shared" si="56"/>
        <v>156.16</v>
      </c>
      <c r="T239" s="41">
        <f t="shared" si="56"/>
        <v>4.572</v>
      </c>
    </row>
    <row r="240" spans="1:20" s="6" customFormat="1" ht="11.25" customHeight="1">
      <c r="A240" s="161" t="s">
        <v>35</v>
      </c>
      <c r="B240" s="161"/>
      <c r="C240" s="161"/>
      <c r="D240" s="161"/>
      <c r="E240" s="80"/>
      <c r="F240" s="87">
        <f aca="true" t="shared" si="57" ref="F240:T240">F239/F256</f>
        <v>0.3172222222222222</v>
      </c>
      <c r="G240" s="67">
        <f t="shared" si="57"/>
        <v>0.4170652173913043</v>
      </c>
      <c r="H240" s="67">
        <f t="shared" si="57"/>
        <v>0.21819843342036552</v>
      </c>
      <c r="I240" s="67">
        <f t="shared" si="57"/>
        <v>0.22965441176470586</v>
      </c>
      <c r="J240" s="67">
        <f t="shared" si="57"/>
        <v>0.2757142857142858</v>
      </c>
      <c r="K240" s="67">
        <f t="shared" si="57"/>
        <v>0.42312500000000003</v>
      </c>
      <c r="L240" s="67">
        <f t="shared" si="57"/>
        <v>0.10257142857142856</v>
      </c>
      <c r="M240" s="67">
        <f t="shared" si="57"/>
        <v>103.49111111111108</v>
      </c>
      <c r="N240" s="67">
        <f t="shared" si="57"/>
        <v>0.19099999999999998</v>
      </c>
      <c r="O240" s="67">
        <f t="shared" si="57"/>
        <v>0.7256916666666666</v>
      </c>
      <c r="P240" s="67">
        <f t="shared" si="57"/>
        <v>0.6220666666666667</v>
      </c>
      <c r="Q240" s="67">
        <f t="shared" si="57"/>
        <v>0.21550000000000002</v>
      </c>
      <c r="R240" s="67">
        <f t="shared" si="57"/>
        <v>1.2</v>
      </c>
      <c r="S240" s="67">
        <f t="shared" si="57"/>
        <v>0.5205333333333333</v>
      </c>
      <c r="T240" s="67">
        <f t="shared" si="57"/>
        <v>0.254</v>
      </c>
    </row>
    <row r="241" spans="1:20" s="6" customFormat="1" ht="11.25" customHeight="1">
      <c r="A241" s="168" t="s">
        <v>36</v>
      </c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</row>
    <row r="242" spans="1:20" s="6" customFormat="1" ht="21" customHeight="1">
      <c r="A242" s="51" t="s">
        <v>37</v>
      </c>
      <c r="B242" s="148" t="s">
        <v>38</v>
      </c>
      <c r="C242" s="148"/>
      <c r="D242" s="52">
        <v>60</v>
      </c>
      <c r="E242" s="53">
        <v>5.34</v>
      </c>
      <c r="F242" s="53">
        <v>0.9</v>
      </c>
      <c r="G242" s="53">
        <v>1.31</v>
      </c>
      <c r="H242" s="53">
        <v>5.6</v>
      </c>
      <c r="I242" s="53">
        <v>37.79</v>
      </c>
      <c r="J242" s="54">
        <v>0.06</v>
      </c>
      <c r="K242" s="53">
        <v>0.07</v>
      </c>
      <c r="L242" s="55">
        <v>15.5</v>
      </c>
      <c r="M242" s="54">
        <v>0.071</v>
      </c>
      <c r="N242" s="52">
        <v>0.3</v>
      </c>
      <c r="O242" s="53">
        <v>28.2</v>
      </c>
      <c r="P242" s="53">
        <v>18.9</v>
      </c>
      <c r="Q242" s="54">
        <v>0.2</v>
      </c>
      <c r="R242" s="54">
        <v>0.001</v>
      </c>
      <c r="S242" s="53">
        <v>10.5</v>
      </c>
      <c r="T242" s="53">
        <v>0.6</v>
      </c>
    </row>
    <row r="243" spans="1:20" s="6" customFormat="1" ht="11.25" customHeight="1">
      <c r="A243" s="32">
        <v>204</v>
      </c>
      <c r="B243" s="152" t="s">
        <v>105</v>
      </c>
      <c r="C243" s="152"/>
      <c r="D243" s="26">
        <v>250</v>
      </c>
      <c r="E243" s="23">
        <v>8.65</v>
      </c>
      <c r="F243" s="29">
        <v>3.15</v>
      </c>
      <c r="G243" s="57">
        <v>3.55</v>
      </c>
      <c r="H243" s="57">
        <v>20.8375</v>
      </c>
      <c r="I243" s="29">
        <v>104.5</v>
      </c>
      <c r="J243" s="57">
        <v>0.0875</v>
      </c>
      <c r="K243" s="57">
        <v>0.075</v>
      </c>
      <c r="L243" s="57">
        <v>11.3125</v>
      </c>
      <c r="M243" s="57">
        <v>0.05875</v>
      </c>
      <c r="N243" s="57">
        <v>0.875</v>
      </c>
      <c r="O243" s="57">
        <v>25.7375</v>
      </c>
      <c r="P243" s="57">
        <v>60.2375</v>
      </c>
      <c r="Q243" s="57">
        <v>0.25</v>
      </c>
      <c r="R243" s="57">
        <v>0.00125</v>
      </c>
      <c r="S243" s="57">
        <v>18.2</v>
      </c>
      <c r="T243" s="57">
        <v>0.925</v>
      </c>
    </row>
    <row r="244" spans="1:20" s="6" customFormat="1" ht="13.5" customHeight="1">
      <c r="A244" s="17">
        <v>259</v>
      </c>
      <c r="B244" s="152" t="s">
        <v>106</v>
      </c>
      <c r="C244" s="152"/>
      <c r="D244" s="24">
        <v>200</v>
      </c>
      <c r="E244" s="23">
        <v>38.21</v>
      </c>
      <c r="F244" s="23">
        <v>14.27</v>
      </c>
      <c r="G244" s="23">
        <v>15.01</v>
      </c>
      <c r="H244" s="23">
        <v>25.51</v>
      </c>
      <c r="I244" s="23">
        <v>294.21</v>
      </c>
      <c r="J244" s="23">
        <v>0.22</v>
      </c>
      <c r="K244" s="23">
        <v>0.2</v>
      </c>
      <c r="L244" s="23">
        <v>31.3</v>
      </c>
      <c r="M244" s="25">
        <v>0.082</v>
      </c>
      <c r="N244" s="26">
        <v>0.49</v>
      </c>
      <c r="O244" s="23">
        <v>42.2</v>
      </c>
      <c r="P244" s="61">
        <v>218.2</v>
      </c>
      <c r="Q244" s="61">
        <v>4.2</v>
      </c>
      <c r="R244" s="25">
        <v>0.002</v>
      </c>
      <c r="S244" s="23">
        <v>55.87</v>
      </c>
      <c r="T244" s="23">
        <v>3.32</v>
      </c>
    </row>
    <row r="245" spans="1:20" s="6" customFormat="1" ht="30" customHeight="1">
      <c r="A245" s="32">
        <v>349</v>
      </c>
      <c r="B245" s="152" t="s">
        <v>42</v>
      </c>
      <c r="C245" s="152"/>
      <c r="D245" s="24">
        <v>200</v>
      </c>
      <c r="E245" s="23">
        <v>6.16</v>
      </c>
      <c r="F245" s="29">
        <v>0.2</v>
      </c>
      <c r="G245" s="30">
        <v>0</v>
      </c>
      <c r="H245" s="29">
        <v>24.42</v>
      </c>
      <c r="I245" s="29">
        <v>98.56</v>
      </c>
      <c r="J245" s="30">
        <v>0</v>
      </c>
      <c r="K245" s="30">
        <v>0</v>
      </c>
      <c r="L245" s="29">
        <v>26.11</v>
      </c>
      <c r="M245" s="30">
        <v>0</v>
      </c>
      <c r="N245" s="30">
        <v>0</v>
      </c>
      <c r="O245" s="31">
        <v>6.4</v>
      </c>
      <c r="P245" s="31">
        <v>3.6</v>
      </c>
      <c r="Q245" s="58">
        <v>0</v>
      </c>
      <c r="R245" s="58">
        <v>0</v>
      </c>
      <c r="S245" s="31">
        <v>0</v>
      </c>
      <c r="T245" s="29">
        <v>0.18</v>
      </c>
    </row>
    <row r="246" spans="1:20" s="6" customFormat="1" ht="11.25" customHeight="1">
      <c r="A246" s="59" t="s">
        <v>30</v>
      </c>
      <c r="B246" s="152" t="s">
        <v>43</v>
      </c>
      <c r="C246" s="152"/>
      <c r="D246" s="24">
        <v>50</v>
      </c>
      <c r="E246" s="23">
        <v>2.35</v>
      </c>
      <c r="F246" s="23">
        <f>2.64*D246/40</f>
        <v>3.3</v>
      </c>
      <c r="G246" s="23">
        <f>0.48*D246/40</f>
        <v>0.6</v>
      </c>
      <c r="H246" s="23">
        <f>13.68*D246/40</f>
        <v>17.1</v>
      </c>
      <c r="I246" s="61">
        <f>F246*4+G246*9+H246*4</f>
        <v>87</v>
      </c>
      <c r="J246" s="26">
        <f>0.08*D246/40</f>
        <v>0.1</v>
      </c>
      <c r="K246" s="23">
        <f>0.04*D246/40</f>
        <v>0.05</v>
      </c>
      <c r="L246" s="24">
        <v>0</v>
      </c>
      <c r="M246" s="24">
        <v>0</v>
      </c>
      <c r="N246" s="23">
        <f>2.4*D246/40</f>
        <v>3</v>
      </c>
      <c r="O246" s="23">
        <f>14*D246/40</f>
        <v>17.5</v>
      </c>
      <c r="P246" s="23">
        <f>63.2*D246/40</f>
        <v>79</v>
      </c>
      <c r="Q246" s="23">
        <f>1.2*D246/40</f>
        <v>1.5</v>
      </c>
      <c r="R246" s="25">
        <f>0.001*D246/40</f>
        <v>0.00125</v>
      </c>
      <c r="S246" s="23">
        <f>9.4*D246/40</f>
        <v>11.75</v>
      </c>
      <c r="T246" s="26">
        <f>0.78*D246/40</f>
        <v>0.975</v>
      </c>
    </row>
    <row r="247" spans="1:20" s="6" customFormat="1" ht="11.25" customHeight="1">
      <c r="A247" s="59" t="s">
        <v>30</v>
      </c>
      <c r="B247" s="152" t="s">
        <v>44</v>
      </c>
      <c r="C247" s="152"/>
      <c r="D247" s="24">
        <v>130</v>
      </c>
      <c r="E247" s="23">
        <v>19.29</v>
      </c>
      <c r="F247" s="29">
        <v>0.9</v>
      </c>
      <c r="G247" s="30">
        <v>0.2</v>
      </c>
      <c r="H247" s="31">
        <v>8.1</v>
      </c>
      <c r="I247" s="29">
        <v>136.6</v>
      </c>
      <c r="J247" s="29">
        <v>0.04</v>
      </c>
      <c r="K247" s="29">
        <v>0.03</v>
      </c>
      <c r="L247" s="29">
        <v>60</v>
      </c>
      <c r="M247" s="29">
        <v>0</v>
      </c>
      <c r="N247" s="30">
        <v>0.2</v>
      </c>
      <c r="O247" s="29">
        <v>34</v>
      </c>
      <c r="P247" s="29">
        <v>23</v>
      </c>
      <c r="Q247" s="57">
        <v>0.2</v>
      </c>
      <c r="R247" s="29">
        <v>0</v>
      </c>
      <c r="S247" s="29">
        <v>15</v>
      </c>
      <c r="T247" s="29">
        <v>0.3</v>
      </c>
    </row>
    <row r="248" spans="1:20" s="6" customFormat="1" ht="11.25" customHeight="1">
      <c r="A248" s="62" t="s">
        <v>45</v>
      </c>
      <c r="B248" s="63"/>
      <c r="C248" s="63"/>
      <c r="D248" s="110">
        <f aca="true" t="shared" si="58" ref="D248:T248">SUM(D242:D247)</f>
        <v>890</v>
      </c>
      <c r="E248" s="111">
        <f t="shared" si="58"/>
        <v>80</v>
      </c>
      <c r="F248" s="41">
        <f t="shared" si="58"/>
        <v>22.72</v>
      </c>
      <c r="G248" s="41">
        <f t="shared" si="58"/>
        <v>20.669999999999998</v>
      </c>
      <c r="H248" s="41">
        <f t="shared" si="58"/>
        <v>101.5675</v>
      </c>
      <c r="I248" s="41">
        <f t="shared" si="58"/>
        <v>758.66</v>
      </c>
      <c r="J248" s="41">
        <f t="shared" si="58"/>
        <v>0.5075000000000001</v>
      </c>
      <c r="K248" s="41">
        <f t="shared" si="58"/>
        <v>0.42500000000000004</v>
      </c>
      <c r="L248" s="41">
        <f t="shared" si="58"/>
        <v>144.2225</v>
      </c>
      <c r="M248" s="41">
        <f t="shared" si="58"/>
        <v>0.21175</v>
      </c>
      <c r="N248" s="41">
        <f t="shared" si="58"/>
        <v>4.865</v>
      </c>
      <c r="O248" s="41">
        <f t="shared" si="58"/>
        <v>154.03750000000002</v>
      </c>
      <c r="P248" s="41">
        <f t="shared" si="58"/>
        <v>402.9375</v>
      </c>
      <c r="Q248" s="41">
        <f t="shared" si="58"/>
        <v>6.3500000000000005</v>
      </c>
      <c r="R248" s="41">
        <f t="shared" si="58"/>
        <v>0.0055000000000000005</v>
      </c>
      <c r="S248" s="41">
        <f t="shared" si="58"/>
        <v>111.32</v>
      </c>
      <c r="T248" s="41">
        <f t="shared" si="58"/>
        <v>6.299999999999999</v>
      </c>
    </row>
    <row r="249" spans="1:20" s="6" customFormat="1" ht="11.25" customHeight="1">
      <c r="A249" s="161" t="s">
        <v>35</v>
      </c>
      <c r="B249" s="161"/>
      <c r="C249" s="161"/>
      <c r="D249" s="161"/>
      <c r="E249" s="80"/>
      <c r="F249" s="87">
        <f aca="true" t="shared" si="59" ref="F249:T249">F248/F256</f>
        <v>0.2524444444444444</v>
      </c>
      <c r="G249" s="67">
        <f t="shared" si="59"/>
        <v>0.22467391304347825</v>
      </c>
      <c r="H249" s="67">
        <f t="shared" si="59"/>
        <v>0.2651892950391645</v>
      </c>
      <c r="I249" s="67">
        <f t="shared" si="59"/>
        <v>0.2789191176470588</v>
      </c>
      <c r="J249" s="67">
        <f t="shared" si="59"/>
        <v>0.36250000000000004</v>
      </c>
      <c r="K249" s="67">
        <f t="shared" si="59"/>
        <v>0.265625</v>
      </c>
      <c r="L249" s="67">
        <f t="shared" si="59"/>
        <v>2.0603214285714286</v>
      </c>
      <c r="M249" s="67">
        <f t="shared" si="59"/>
        <v>0.23527777777777775</v>
      </c>
      <c r="N249" s="67">
        <f t="shared" si="59"/>
        <v>0.4054166666666667</v>
      </c>
      <c r="O249" s="67">
        <f t="shared" si="59"/>
        <v>0.12836458333333337</v>
      </c>
      <c r="P249" s="67">
        <f t="shared" si="59"/>
        <v>0.33578125</v>
      </c>
      <c r="Q249" s="67">
        <f t="shared" si="59"/>
        <v>0.4535714285714286</v>
      </c>
      <c r="R249" s="67">
        <f t="shared" si="59"/>
        <v>0.055</v>
      </c>
      <c r="S249" s="67">
        <f t="shared" si="59"/>
        <v>0.37106666666666666</v>
      </c>
      <c r="T249" s="67">
        <f t="shared" si="59"/>
        <v>0.3499999999999999</v>
      </c>
    </row>
    <row r="250" spans="1:20" s="6" customFormat="1" ht="11.25" customHeight="1">
      <c r="A250" s="151" t="s">
        <v>46</v>
      </c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</row>
    <row r="251" spans="1:20" s="6" customFormat="1" ht="11.25" customHeight="1">
      <c r="A251" s="17"/>
      <c r="B251" s="152" t="s">
        <v>107</v>
      </c>
      <c r="C251" s="152"/>
      <c r="D251" s="24">
        <v>90</v>
      </c>
      <c r="E251" s="23">
        <v>16.19</v>
      </c>
      <c r="F251" s="23">
        <v>11</v>
      </c>
      <c r="G251" s="61">
        <v>9.5</v>
      </c>
      <c r="H251" s="61">
        <v>31.5</v>
      </c>
      <c r="I251" s="23">
        <f>F251*4+G251*9+H251*4</f>
        <v>255.5</v>
      </c>
      <c r="J251" s="23">
        <v>0.1</v>
      </c>
      <c r="K251" s="23">
        <v>0.3</v>
      </c>
      <c r="L251" s="23">
        <v>0.6</v>
      </c>
      <c r="M251" s="23">
        <v>0.13</v>
      </c>
      <c r="N251" s="23">
        <v>1.8</v>
      </c>
      <c r="O251" s="23">
        <v>18.6</v>
      </c>
      <c r="P251" s="23">
        <v>113.8</v>
      </c>
      <c r="Q251" s="23">
        <v>1.63</v>
      </c>
      <c r="R251" s="23">
        <v>0.01</v>
      </c>
      <c r="S251" s="23">
        <v>17.4</v>
      </c>
      <c r="T251" s="23">
        <v>0.6</v>
      </c>
    </row>
    <row r="252" spans="1:20" s="6" customFormat="1" ht="12" customHeight="1">
      <c r="A252" s="17">
        <v>379</v>
      </c>
      <c r="B252" s="152" t="s">
        <v>67</v>
      </c>
      <c r="C252" s="152"/>
      <c r="D252" s="24">
        <v>200</v>
      </c>
      <c r="E252" s="23">
        <v>13.81</v>
      </c>
      <c r="F252" s="23">
        <v>3.17</v>
      </c>
      <c r="G252" s="23">
        <v>2.68</v>
      </c>
      <c r="H252" s="23">
        <v>15.95</v>
      </c>
      <c r="I252" s="23">
        <f>F252*4+G252*9+H252*4</f>
        <v>100.6</v>
      </c>
      <c r="J252" s="26">
        <v>0.04</v>
      </c>
      <c r="K252" s="26">
        <v>0.15</v>
      </c>
      <c r="L252" s="61">
        <v>1.3</v>
      </c>
      <c r="M252" s="26">
        <v>0.03</v>
      </c>
      <c r="N252" s="26">
        <v>0.06</v>
      </c>
      <c r="O252" s="61">
        <v>120.4</v>
      </c>
      <c r="P252" s="61">
        <v>90</v>
      </c>
      <c r="Q252" s="61">
        <v>1.1</v>
      </c>
      <c r="R252" s="61">
        <v>0.01</v>
      </c>
      <c r="S252" s="61">
        <v>14</v>
      </c>
      <c r="T252" s="23">
        <v>0.12</v>
      </c>
    </row>
    <row r="253" spans="1:20" s="9" customFormat="1" ht="11.25" customHeight="1">
      <c r="A253" s="62" t="s">
        <v>49</v>
      </c>
      <c r="B253" s="63"/>
      <c r="C253" s="63"/>
      <c r="D253" s="39">
        <f aca="true" t="shared" si="60" ref="D253:T253">SUM(D251:D252)</f>
        <v>290</v>
      </c>
      <c r="E253" s="40">
        <f t="shared" si="60"/>
        <v>30</v>
      </c>
      <c r="F253" s="41">
        <f t="shared" si="60"/>
        <v>14.17</v>
      </c>
      <c r="G253" s="42">
        <f t="shared" si="60"/>
        <v>12.18</v>
      </c>
      <c r="H253" s="42">
        <f t="shared" si="60"/>
        <v>47.45</v>
      </c>
      <c r="I253" s="42">
        <f t="shared" si="60"/>
        <v>356.1</v>
      </c>
      <c r="J253" s="42">
        <f t="shared" si="60"/>
        <v>0.14</v>
      </c>
      <c r="K253" s="42">
        <f t="shared" si="60"/>
        <v>0.44999999999999996</v>
      </c>
      <c r="L253" s="42">
        <f t="shared" si="60"/>
        <v>1.9</v>
      </c>
      <c r="M253" s="42">
        <f t="shared" si="60"/>
        <v>0.16</v>
      </c>
      <c r="N253" s="42">
        <f t="shared" si="60"/>
        <v>1.86</v>
      </c>
      <c r="O253" s="42">
        <f t="shared" si="60"/>
        <v>139</v>
      </c>
      <c r="P253" s="42">
        <f t="shared" si="60"/>
        <v>203.8</v>
      </c>
      <c r="Q253" s="42">
        <f t="shared" si="60"/>
        <v>2.73</v>
      </c>
      <c r="R253" s="43">
        <f t="shared" si="60"/>
        <v>0.02</v>
      </c>
      <c r="S253" s="42">
        <f t="shared" si="60"/>
        <v>31.4</v>
      </c>
      <c r="T253" s="42">
        <f t="shared" si="60"/>
        <v>0.72</v>
      </c>
    </row>
    <row r="254" spans="1:20" s="9" customFormat="1" ht="11.25" customHeight="1">
      <c r="A254" s="161" t="s">
        <v>35</v>
      </c>
      <c r="B254" s="161"/>
      <c r="C254" s="161"/>
      <c r="D254" s="161"/>
      <c r="E254" s="44"/>
      <c r="F254" s="66">
        <f aca="true" t="shared" si="61" ref="F254:T254">F253/F256</f>
        <v>0.15744444444444444</v>
      </c>
      <c r="G254" s="67">
        <f t="shared" si="61"/>
        <v>0.1323913043478261</v>
      </c>
      <c r="H254" s="67">
        <f t="shared" si="61"/>
        <v>0.12389033942558747</v>
      </c>
      <c r="I254" s="67">
        <f t="shared" si="61"/>
        <v>0.13091911764705882</v>
      </c>
      <c r="J254" s="67">
        <f t="shared" si="61"/>
        <v>0.10000000000000002</v>
      </c>
      <c r="K254" s="67">
        <f t="shared" si="61"/>
        <v>0.28124999999999994</v>
      </c>
      <c r="L254" s="67">
        <f t="shared" si="61"/>
        <v>0.027142857142857142</v>
      </c>
      <c r="M254" s="67">
        <f t="shared" si="61"/>
        <v>0.17777777777777778</v>
      </c>
      <c r="N254" s="67">
        <f t="shared" si="61"/>
        <v>0.155</v>
      </c>
      <c r="O254" s="67">
        <f t="shared" si="61"/>
        <v>0.11583333333333333</v>
      </c>
      <c r="P254" s="67">
        <f t="shared" si="61"/>
        <v>0.16983333333333334</v>
      </c>
      <c r="Q254" s="67">
        <f t="shared" si="61"/>
        <v>0.195</v>
      </c>
      <c r="R254" s="67">
        <f t="shared" si="61"/>
        <v>0.19999999999999998</v>
      </c>
      <c r="S254" s="67">
        <f t="shared" si="61"/>
        <v>0.10466666666666666</v>
      </c>
      <c r="T254" s="67">
        <f t="shared" si="61"/>
        <v>0.04</v>
      </c>
    </row>
    <row r="255" spans="1:20" s="9" customFormat="1" ht="11.25" customHeight="1">
      <c r="A255" s="157" t="s">
        <v>50</v>
      </c>
      <c r="B255" s="157"/>
      <c r="C255" s="157"/>
      <c r="D255" s="157"/>
      <c r="E255" s="44"/>
      <c r="F255" s="41">
        <f aca="true" t="shared" si="62" ref="F255:T255">SUM(F239,F248,F253)</f>
        <v>65.44</v>
      </c>
      <c r="G255" s="42">
        <f t="shared" si="62"/>
        <v>71.22</v>
      </c>
      <c r="H255" s="42">
        <f t="shared" si="62"/>
        <v>232.58749999999998</v>
      </c>
      <c r="I255" s="42">
        <f t="shared" si="62"/>
        <v>1739.42</v>
      </c>
      <c r="J255" s="41">
        <f t="shared" si="62"/>
        <v>1.0335</v>
      </c>
      <c r="K255" s="41">
        <f t="shared" si="62"/>
        <v>1.552</v>
      </c>
      <c r="L255" s="42">
        <f t="shared" si="62"/>
        <v>153.3025</v>
      </c>
      <c r="M255" s="41">
        <f t="shared" si="62"/>
        <v>93.51374999999997</v>
      </c>
      <c r="N255" s="41">
        <f t="shared" si="62"/>
        <v>9.017</v>
      </c>
      <c r="O255" s="42">
        <f t="shared" si="62"/>
        <v>1163.8674999999998</v>
      </c>
      <c r="P255" s="42">
        <f t="shared" si="62"/>
        <v>1353.2175</v>
      </c>
      <c r="Q255" s="41">
        <f t="shared" si="62"/>
        <v>12.097000000000001</v>
      </c>
      <c r="R255" s="43">
        <f t="shared" si="62"/>
        <v>0.1455</v>
      </c>
      <c r="S255" s="41">
        <f t="shared" si="62"/>
        <v>298.88</v>
      </c>
      <c r="T255" s="41">
        <f t="shared" si="62"/>
        <v>11.592</v>
      </c>
    </row>
    <row r="256" spans="1:20" s="9" customFormat="1" ht="11.25" customHeight="1">
      <c r="A256" s="157" t="s">
        <v>51</v>
      </c>
      <c r="B256" s="157"/>
      <c r="C256" s="157"/>
      <c r="D256" s="157"/>
      <c r="E256" s="44"/>
      <c r="F256" s="23">
        <v>90</v>
      </c>
      <c r="G256" s="61">
        <v>92</v>
      </c>
      <c r="H256" s="61">
        <v>383</v>
      </c>
      <c r="I256" s="61">
        <v>2720</v>
      </c>
      <c r="J256" s="23">
        <v>1.4</v>
      </c>
      <c r="K256" s="23">
        <v>1.6</v>
      </c>
      <c r="L256" s="24">
        <v>70</v>
      </c>
      <c r="M256" s="23">
        <v>0.9</v>
      </c>
      <c r="N256" s="24">
        <v>12</v>
      </c>
      <c r="O256" s="24">
        <v>1200</v>
      </c>
      <c r="P256" s="24">
        <v>1200</v>
      </c>
      <c r="Q256" s="24">
        <v>14</v>
      </c>
      <c r="R256" s="61">
        <v>0.1</v>
      </c>
      <c r="S256" s="24">
        <v>300</v>
      </c>
      <c r="T256" s="23">
        <v>18</v>
      </c>
    </row>
    <row r="257" spans="1:20" s="9" customFormat="1" ht="11.25" customHeight="1">
      <c r="A257" s="161" t="s">
        <v>35</v>
      </c>
      <c r="B257" s="161"/>
      <c r="C257" s="161"/>
      <c r="D257" s="161"/>
      <c r="E257" s="44"/>
      <c r="F257" s="66">
        <f aca="true" t="shared" si="63" ref="F257:T257">F255/F256</f>
        <v>0.727111111111111</v>
      </c>
      <c r="G257" s="67">
        <f t="shared" si="63"/>
        <v>0.7741304347826087</v>
      </c>
      <c r="H257" s="67">
        <f t="shared" si="63"/>
        <v>0.6072780678851174</v>
      </c>
      <c r="I257" s="67">
        <f t="shared" si="63"/>
        <v>0.6394926470588236</v>
      </c>
      <c r="J257" s="67">
        <f t="shared" si="63"/>
        <v>0.7382142857142858</v>
      </c>
      <c r="K257" s="67">
        <f t="shared" si="63"/>
        <v>0.97</v>
      </c>
      <c r="L257" s="67">
        <f t="shared" si="63"/>
        <v>2.1900357142857145</v>
      </c>
      <c r="M257" s="68">
        <f t="shared" si="63"/>
        <v>103.90416666666664</v>
      </c>
      <c r="N257" s="67">
        <f t="shared" si="63"/>
        <v>0.7514166666666666</v>
      </c>
      <c r="O257" s="67">
        <f t="shared" si="63"/>
        <v>0.9698895833333332</v>
      </c>
      <c r="P257" s="67">
        <f t="shared" si="63"/>
        <v>1.12768125</v>
      </c>
      <c r="Q257" s="67">
        <f t="shared" si="63"/>
        <v>0.8640714285714287</v>
      </c>
      <c r="R257" s="68">
        <f t="shared" si="63"/>
        <v>1.4549999999999998</v>
      </c>
      <c r="S257" s="67">
        <f t="shared" si="63"/>
        <v>0.9962666666666666</v>
      </c>
      <c r="T257" s="68">
        <f t="shared" si="63"/>
        <v>0.644</v>
      </c>
    </row>
    <row r="258" spans="1:20" s="9" customFormat="1" ht="11.25" customHeight="1">
      <c r="A258" s="5" t="s">
        <v>68</v>
      </c>
      <c r="B258" s="5"/>
      <c r="C258" s="69"/>
      <c r="D258" s="69"/>
      <c r="E258" s="70"/>
      <c r="F258" s="11"/>
      <c r="G258" s="6"/>
      <c r="H258" s="8"/>
      <c r="I258" s="8"/>
      <c r="J258" s="6"/>
      <c r="K258" s="6"/>
      <c r="L258" s="6"/>
      <c r="M258" s="143" t="s">
        <v>0</v>
      </c>
      <c r="N258" s="143"/>
      <c r="O258" s="143"/>
      <c r="P258" s="143"/>
      <c r="Q258" s="143"/>
      <c r="R258" s="143"/>
      <c r="S258" s="143"/>
      <c r="T258" s="143"/>
    </row>
    <row r="259" spans="1:20" s="9" customFormat="1" ht="11.25" customHeight="1">
      <c r="A259" s="5"/>
      <c r="B259" s="5"/>
      <c r="C259" s="69"/>
      <c r="D259" s="69"/>
      <c r="E259" s="70"/>
      <c r="F259" s="11"/>
      <c r="G259" s="6"/>
      <c r="H259" s="8"/>
      <c r="I259" s="8"/>
      <c r="J259" s="6"/>
      <c r="K259" s="6"/>
      <c r="L259" s="6"/>
      <c r="M259" s="84"/>
      <c r="N259" s="84"/>
      <c r="O259" s="84"/>
      <c r="P259" s="84"/>
      <c r="Q259" s="84"/>
      <c r="R259" s="84"/>
      <c r="S259" s="84"/>
      <c r="T259" s="84"/>
    </row>
    <row r="260" spans="1:20" s="9" customFormat="1" ht="11.25" customHeight="1">
      <c r="A260" s="158" t="s">
        <v>108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</row>
    <row r="261" spans="1:20" s="9" customFormat="1" ht="11.25" customHeight="1">
      <c r="A261" s="10" t="s">
        <v>2</v>
      </c>
      <c r="B261" s="5"/>
      <c r="C261" s="5"/>
      <c r="D261" s="8"/>
      <c r="E261" s="11"/>
      <c r="F261" s="7"/>
      <c r="G261" s="145" t="s">
        <v>80</v>
      </c>
      <c r="H261" s="145"/>
      <c r="I261" s="145"/>
      <c r="J261" s="6"/>
      <c r="K261" s="6"/>
      <c r="L261" s="146"/>
      <c r="M261" s="146"/>
      <c r="N261" s="147"/>
      <c r="O261" s="147"/>
      <c r="P261" s="147"/>
      <c r="Q261" s="147"/>
      <c r="R261" s="6"/>
      <c r="S261" s="6"/>
      <c r="T261" s="6"/>
    </row>
    <row r="262" spans="1:20" s="9" customFormat="1" ht="11.25" customHeight="1">
      <c r="A262" s="5"/>
      <c r="B262" s="5"/>
      <c r="C262" s="5"/>
      <c r="D262" s="162" t="s">
        <v>4</v>
      </c>
      <c r="E262" s="162"/>
      <c r="F262" s="162"/>
      <c r="G262" s="12">
        <v>2</v>
      </c>
      <c r="H262" s="6"/>
      <c r="I262" s="8"/>
      <c r="J262" s="8"/>
      <c r="K262" s="8"/>
      <c r="L262" s="162"/>
      <c r="M262" s="162"/>
      <c r="N262" s="145"/>
      <c r="O262" s="145"/>
      <c r="P262" s="145"/>
      <c r="Q262" s="145"/>
      <c r="R262" s="145"/>
      <c r="S262" s="145"/>
      <c r="T262" s="145"/>
    </row>
    <row r="263" spans="1:20" s="9" customFormat="1" ht="21.75" customHeight="1">
      <c r="A263" s="149" t="s">
        <v>54</v>
      </c>
      <c r="B263" s="149" t="s">
        <v>55</v>
      </c>
      <c r="C263" s="149"/>
      <c r="D263" s="149" t="s">
        <v>7</v>
      </c>
      <c r="E263" s="85"/>
      <c r="F263" s="149" t="s">
        <v>8</v>
      </c>
      <c r="G263" s="149"/>
      <c r="H263" s="149"/>
      <c r="I263" s="149" t="s">
        <v>9</v>
      </c>
      <c r="J263" s="149" t="s">
        <v>10</v>
      </c>
      <c r="K263" s="149"/>
      <c r="L263" s="149"/>
      <c r="M263" s="149"/>
      <c r="N263" s="149"/>
      <c r="O263" s="149" t="s">
        <v>11</v>
      </c>
      <c r="P263" s="149"/>
      <c r="Q263" s="149"/>
      <c r="R263" s="149"/>
      <c r="S263" s="149"/>
      <c r="T263" s="149"/>
    </row>
    <row r="264" spans="1:20" s="9" customFormat="1" ht="21" customHeight="1">
      <c r="A264" s="149"/>
      <c r="B264" s="149"/>
      <c r="C264" s="149"/>
      <c r="D264" s="149"/>
      <c r="E264" s="15"/>
      <c r="F264" s="16" t="s">
        <v>12</v>
      </c>
      <c r="G264" s="13" t="s">
        <v>13</v>
      </c>
      <c r="H264" s="13" t="s">
        <v>14</v>
      </c>
      <c r="I264" s="149"/>
      <c r="J264" s="13" t="s">
        <v>15</v>
      </c>
      <c r="K264" s="13" t="s">
        <v>16</v>
      </c>
      <c r="L264" s="13" t="s">
        <v>17</v>
      </c>
      <c r="M264" s="13" t="s">
        <v>18</v>
      </c>
      <c r="N264" s="13" t="s">
        <v>19</v>
      </c>
      <c r="O264" s="13" t="s">
        <v>20</v>
      </c>
      <c r="P264" s="13" t="s">
        <v>21</v>
      </c>
      <c r="Q264" s="13" t="s">
        <v>22</v>
      </c>
      <c r="R264" s="13" t="s">
        <v>109</v>
      </c>
      <c r="S264" s="13" t="s">
        <v>24</v>
      </c>
      <c r="T264" s="13" t="s">
        <v>25</v>
      </c>
    </row>
    <row r="265" spans="1:20" s="9" customFormat="1" ht="11.25" customHeight="1">
      <c r="A265" s="17">
        <v>1</v>
      </c>
      <c r="B265" s="150">
        <v>2</v>
      </c>
      <c r="C265" s="150"/>
      <c r="D265" s="18">
        <v>3</v>
      </c>
      <c r="E265" s="19"/>
      <c r="F265" s="19">
        <v>4</v>
      </c>
      <c r="G265" s="18">
        <v>5</v>
      </c>
      <c r="H265" s="18">
        <v>6</v>
      </c>
      <c r="I265" s="18">
        <v>7</v>
      </c>
      <c r="J265" s="18">
        <v>8</v>
      </c>
      <c r="K265" s="18">
        <v>9</v>
      </c>
      <c r="L265" s="18">
        <v>10</v>
      </c>
      <c r="M265" s="18">
        <v>11</v>
      </c>
      <c r="N265" s="18">
        <v>12</v>
      </c>
      <c r="O265" s="18">
        <v>13</v>
      </c>
      <c r="P265" s="18">
        <v>14</v>
      </c>
      <c r="Q265" s="18">
        <v>15</v>
      </c>
      <c r="R265" s="18">
        <v>16</v>
      </c>
      <c r="S265" s="18">
        <v>17</v>
      </c>
      <c r="T265" s="18">
        <v>18</v>
      </c>
    </row>
    <row r="266" spans="1:20" s="9" customFormat="1" ht="11.25" customHeight="1">
      <c r="A266" s="151" t="s">
        <v>56</v>
      </c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</row>
    <row r="267" spans="1:20" s="6" customFormat="1" ht="23.25" customHeight="1">
      <c r="A267" s="71" t="s">
        <v>30</v>
      </c>
      <c r="B267" s="152" t="s">
        <v>57</v>
      </c>
      <c r="C267" s="152"/>
      <c r="D267" s="72">
        <v>30</v>
      </c>
      <c r="E267" s="73">
        <v>5.1</v>
      </c>
      <c r="F267" s="73">
        <f>0.5*D267/60</f>
        <v>0.25</v>
      </c>
      <c r="G267" s="73">
        <f>0.03*D267/30</f>
        <v>0.029999999999999995</v>
      </c>
      <c r="H267" s="73">
        <f>1.7*D267/60</f>
        <v>0.85</v>
      </c>
      <c r="I267" s="73">
        <f>F267*4+G267*9+H267*4</f>
        <v>4.67</v>
      </c>
      <c r="J267" s="74">
        <v>0.009</v>
      </c>
      <c r="K267" s="73">
        <v>0.01</v>
      </c>
      <c r="L267" s="75">
        <v>3</v>
      </c>
      <c r="M267" s="74">
        <v>0.003</v>
      </c>
      <c r="N267" s="72">
        <v>0.03</v>
      </c>
      <c r="O267" s="73">
        <v>6.9</v>
      </c>
      <c r="P267" s="73">
        <v>12.6</v>
      </c>
      <c r="Q267" s="74">
        <v>0.064</v>
      </c>
      <c r="R267" s="74">
        <v>0.001</v>
      </c>
      <c r="S267" s="73">
        <v>4.2</v>
      </c>
      <c r="T267" s="73">
        <v>0.18</v>
      </c>
    </row>
    <row r="268" spans="1:20" s="6" customFormat="1" ht="33" customHeight="1">
      <c r="A268" s="17">
        <v>280</v>
      </c>
      <c r="B268" s="163" t="s">
        <v>100</v>
      </c>
      <c r="C268" s="163"/>
      <c r="D268" s="92">
        <v>60</v>
      </c>
      <c r="E268" s="22">
        <v>34.4</v>
      </c>
      <c r="F268" s="23">
        <f>9.67*D268/80</f>
        <v>7.2525</v>
      </c>
      <c r="G268" s="23">
        <f>10.18*D268/80</f>
        <v>7.635</v>
      </c>
      <c r="H268" s="23">
        <f>9.14*D268/80</f>
        <v>6.855000000000001</v>
      </c>
      <c r="I268" s="23">
        <f>F268*4+G268*9+H268*4</f>
        <v>125.14500000000001</v>
      </c>
      <c r="J268" s="25">
        <f>0.07*D268/80</f>
        <v>0.052500000000000005</v>
      </c>
      <c r="K268" s="26">
        <f>0.12*D268/80</f>
        <v>0.09</v>
      </c>
      <c r="L268" s="23">
        <f>0.63*D268/80</f>
        <v>0.4725</v>
      </c>
      <c r="M268" s="25">
        <f>0.02*D268/80</f>
        <v>0.015</v>
      </c>
      <c r="N268" s="26">
        <f>0.02*D268/80</f>
        <v>0.015</v>
      </c>
      <c r="O268" s="23">
        <f>28.43*D268/80</f>
        <v>21.322499999999998</v>
      </c>
      <c r="P268" s="23">
        <f>111.3*D268/80</f>
        <v>83.475</v>
      </c>
      <c r="Q268" s="23">
        <f>1.45*D268/80</f>
        <v>1.0875</v>
      </c>
      <c r="R268" s="25">
        <f>0.08*D268/80</f>
        <v>0.06</v>
      </c>
      <c r="S268" s="23">
        <f>15.17*D268/80</f>
        <v>11.377500000000001</v>
      </c>
      <c r="T268" s="23">
        <f>1.42*D268/80</f>
        <v>1.065</v>
      </c>
    </row>
    <row r="269" spans="1:20" s="6" customFormat="1" ht="22.5" customHeight="1">
      <c r="A269" s="17">
        <v>202</v>
      </c>
      <c r="B269" s="152" t="s">
        <v>41</v>
      </c>
      <c r="C269" s="152"/>
      <c r="D269" s="24">
        <v>180</v>
      </c>
      <c r="E269" s="23">
        <v>7.93</v>
      </c>
      <c r="F269" s="29">
        <v>6.84</v>
      </c>
      <c r="G269" s="29">
        <v>4.116</v>
      </c>
      <c r="H269" s="29">
        <v>43.74</v>
      </c>
      <c r="I269" s="29">
        <v>239.364</v>
      </c>
      <c r="J269" s="29">
        <v>0.108</v>
      </c>
      <c r="K269" s="29">
        <v>0.036</v>
      </c>
      <c r="L269" s="29">
        <v>0</v>
      </c>
      <c r="M269" s="57">
        <v>0.036</v>
      </c>
      <c r="N269" s="29">
        <v>1.5</v>
      </c>
      <c r="O269" s="29">
        <v>15.936</v>
      </c>
      <c r="P269" s="29">
        <v>55.452</v>
      </c>
      <c r="Q269" s="29">
        <v>0.936</v>
      </c>
      <c r="R269" s="57">
        <v>0.002</v>
      </c>
      <c r="S269" s="29">
        <v>10.164</v>
      </c>
      <c r="T269" s="29">
        <v>1.032</v>
      </c>
    </row>
    <row r="270" spans="1:20" s="6" customFormat="1" ht="11.25" customHeight="1">
      <c r="A270" s="34">
        <v>377</v>
      </c>
      <c r="B270" s="148" t="s">
        <v>48</v>
      </c>
      <c r="C270" s="148"/>
      <c r="D270" s="58">
        <v>200</v>
      </c>
      <c r="E270" s="29">
        <v>3.6</v>
      </c>
      <c r="F270" s="128">
        <v>0.26</v>
      </c>
      <c r="G270" s="128">
        <v>0.06</v>
      </c>
      <c r="H270" s="128">
        <v>15.22</v>
      </c>
      <c r="I270" s="128">
        <v>62.46</v>
      </c>
      <c r="J270" s="128">
        <v>0</v>
      </c>
      <c r="K270" s="128">
        <v>0.01</v>
      </c>
      <c r="L270" s="128">
        <v>2.9</v>
      </c>
      <c r="M270" s="129">
        <v>0</v>
      </c>
      <c r="N270" s="128">
        <v>0.06</v>
      </c>
      <c r="O270" s="128">
        <v>8.05</v>
      </c>
      <c r="P270" s="128">
        <v>9.78</v>
      </c>
      <c r="Q270" s="128">
        <v>0.017</v>
      </c>
      <c r="R270" s="133">
        <v>0</v>
      </c>
      <c r="S270" s="128">
        <v>5.24</v>
      </c>
      <c r="T270" s="128">
        <v>0.87</v>
      </c>
    </row>
    <row r="271" spans="1:20" s="6" customFormat="1" ht="11.25" customHeight="1">
      <c r="A271" s="32" t="s">
        <v>30</v>
      </c>
      <c r="B271" s="152" t="s">
        <v>59</v>
      </c>
      <c r="C271" s="152"/>
      <c r="D271" s="24">
        <v>40</v>
      </c>
      <c r="E271" s="23">
        <v>2.6</v>
      </c>
      <c r="F271" s="23">
        <f>1.52*D271/30</f>
        <v>2.0266666666666664</v>
      </c>
      <c r="G271" s="25">
        <f>0.16*D271/30</f>
        <v>0.21333333333333335</v>
      </c>
      <c r="H271" s="25">
        <f>9.84*D271/30</f>
        <v>13.120000000000001</v>
      </c>
      <c r="I271" s="25">
        <f>F271*4+G271*9+H271*4</f>
        <v>62.50666666666667</v>
      </c>
      <c r="J271" s="25">
        <f>0.02*D271/30</f>
        <v>0.02666666666666667</v>
      </c>
      <c r="K271" s="25">
        <f>0.01*D271/30</f>
        <v>0.013333333333333334</v>
      </c>
      <c r="L271" s="25">
        <f>0.44*D271/30</f>
        <v>0.5866666666666667</v>
      </c>
      <c r="M271" s="25">
        <v>0</v>
      </c>
      <c r="N271" s="25">
        <f>0.7*D271/30</f>
        <v>0.9333333333333333</v>
      </c>
      <c r="O271" s="25">
        <f>4*D271/30</f>
        <v>5.333333333333333</v>
      </c>
      <c r="P271" s="25">
        <f>13*D271/30</f>
        <v>17.333333333333332</v>
      </c>
      <c r="Q271" s="25">
        <f>0.008*D271/30</f>
        <v>0.010666666666666666</v>
      </c>
      <c r="R271" s="25">
        <f>0.001*D271/30</f>
        <v>0.0013333333333333333</v>
      </c>
      <c r="S271" s="25">
        <v>0</v>
      </c>
      <c r="T271" s="25">
        <f>0.22*D271/30</f>
        <v>0.29333333333333333</v>
      </c>
    </row>
    <row r="272" spans="1:20" s="6" customFormat="1" ht="11.25" customHeight="1">
      <c r="A272" s="105" t="s">
        <v>60</v>
      </c>
      <c r="B272" s="86"/>
      <c r="C272" s="86"/>
      <c r="D272" s="39">
        <f>SUM(D267:D271)</f>
        <v>510</v>
      </c>
      <c r="E272" s="40">
        <f>SUM(E267:E271)</f>
        <v>53.63</v>
      </c>
      <c r="F272" s="41">
        <f>SUM(F267:F271)</f>
        <v>16.629166666666666</v>
      </c>
      <c r="G272" s="41">
        <f aca="true" t="shared" si="64" ref="G272:T272">SUM(G267:G271)</f>
        <v>12.054333333333332</v>
      </c>
      <c r="H272" s="41">
        <f t="shared" si="64"/>
        <v>79.78500000000001</v>
      </c>
      <c r="I272" s="41">
        <f t="shared" si="64"/>
        <v>494.1456666666666</v>
      </c>
      <c r="J272" s="41">
        <f t="shared" si="64"/>
        <v>0.19616666666666668</v>
      </c>
      <c r="K272" s="41">
        <f t="shared" si="64"/>
        <v>0.15933333333333333</v>
      </c>
      <c r="L272" s="41">
        <f t="shared" si="64"/>
        <v>6.959166666666667</v>
      </c>
      <c r="M272" s="41">
        <f t="shared" si="64"/>
        <v>0.05399999999999999</v>
      </c>
      <c r="N272" s="41">
        <f t="shared" si="64"/>
        <v>2.538333333333333</v>
      </c>
      <c r="O272" s="41">
        <f t="shared" si="64"/>
        <v>57.54183333333334</v>
      </c>
      <c r="P272" s="41">
        <f t="shared" si="64"/>
        <v>178.64033333333333</v>
      </c>
      <c r="Q272" s="41">
        <f t="shared" si="64"/>
        <v>2.1151666666666666</v>
      </c>
      <c r="R272" s="41">
        <f t="shared" si="64"/>
        <v>0.06433333333333334</v>
      </c>
      <c r="S272" s="41">
        <f t="shared" si="64"/>
        <v>30.981500000000004</v>
      </c>
      <c r="T272" s="41">
        <f t="shared" si="64"/>
        <v>3.4403333333333337</v>
      </c>
    </row>
    <row r="273" spans="1:20" s="6" customFormat="1" ht="11.25" customHeight="1">
      <c r="A273" s="161" t="s">
        <v>35</v>
      </c>
      <c r="B273" s="161"/>
      <c r="C273" s="161"/>
      <c r="D273" s="161"/>
      <c r="E273" s="80"/>
      <c r="F273" s="87">
        <f aca="true" t="shared" si="65" ref="F273:T273">F272/F290</f>
        <v>0.18476851851851853</v>
      </c>
      <c r="G273" s="67">
        <f t="shared" si="65"/>
        <v>0.13102536231884057</v>
      </c>
      <c r="H273" s="67">
        <f t="shared" si="65"/>
        <v>0.20831592689295042</v>
      </c>
      <c r="I273" s="67">
        <f t="shared" si="65"/>
        <v>0.18167120098039213</v>
      </c>
      <c r="J273" s="67">
        <f t="shared" si="65"/>
        <v>0.14011904761904764</v>
      </c>
      <c r="K273" s="67">
        <f t="shared" si="65"/>
        <v>0.09958333333333333</v>
      </c>
      <c r="L273" s="67">
        <f t="shared" si="65"/>
        <v>0.09941666666666668</v>
      </c>
      <c r="M273" s="67">
        <f t="shared" si="65"/>
        <v>0.05999999999999999</v>
      </c>
      <c r="N273" s="67">
        <f t="shared" si="65"/>
        <v>0.21152777777777776</v>
      </c>
      <c r="O273" s="67">
        <f t="shared" si="65"/>
        <v>0.04795152777777778</v>
      </c>
      <c r="P273" s="67">
        <f t="shared" si="65"/>
        <v>0.14886694444444445</v>
      </c>
      <c r="Q273" s="67">
        <f t="shared" si="65"/>
        <v>0.15108333333333332</v>
      </c>
      <c r="R273" s="67">
        <f t="shared" si="65"/>
        <v>0.6433333333333333</v>
      </c>
      <c r="S273" s="67">
        <f t="shared" si="65"/>
        <v>0.10327166666666668</v>
      </c>
      <c r="T273" s="67">
        <f t="shared" si="65"/>
        <v>0.19112962962962965</v>
      </c>
    </row>
    <row r="274" spans="1:20" s="6" customFormat="1" ht="11.25" customHeight="1">
      <c r="A274" s="168" t="s">
        <v>36</v>
      </c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</row>
    <row r="275" spans="1:20" s="6" customFormat="1" ht="21.75" customHeight="1">
      <c r="A275" s="17">
        <v>24</v>
      </c>
      <c r="B275" s="176" t="s">
        <v>74</v>
      </c>
      <c r="C275" s="176"/>
      <c r="D275" s="174">
        <v>65</v>
      </c>
      <c r="E275" s="175">
        <v>12.05</v>
      </c>
      <c r="F275" s="29">
        <v>0.59</v>
      </c>
      <c r="G275" s="29">
        <v>3.69</v>
      </c>
      <c r="H275" s="29">
        <v>2.24</v>
      </c>
      <c r="I275" s="29">
        <v>44.52</v>
      </c>
      <c r="J275" s="29">
        <v>0.03</v>
      </c>
      <c r="K275" s="29">
        <v>0.03333333333333333</v>
      </c>
      <c r="L275" s="29">
        <v>10.06</v>
      </c>
      <c r="M275" s="57">
        <v>0</v>
      </c>
      <c r="N275" s="29">
        <v>1.25</v>
      </c>
      <c r="O275" s="29">
        <v>11.21</v>
      </c>
      <c r="P275" s="29">
        <v>20.77</v>
      </c>
      <c r="Q275" s="29">
        <v>0.25</v>
      </c>
      <c r="R275" s="57">
        <v>0.0016666666666666668</v>
      </c>
      <c r="S275" s="29">
        <v>9.76</v>
      </c>
      <c r="T275" s="29">
        <v>0.44</v>
      </c>
    </row>
    <row r="276" spans="1:20" s="6" customFormat="1" ht="23.25" customHeight="1">
      <c r="A276" s="17">
        <v>88</v>
      </c>
      <c r="B276" s="164" t="s">
        <v>110</v>
      </c>
      <c r="C276" s="164"/>
      <c r="D276" s="26">
        <v>250</v>
      </c>
      <c r="E276" s="23">
        <v>14.41</v>
      </c>
      <c r="F276" s="29">
        <v>2.44</v>
      </c>
      <c r="G276" s="29">
        <v>6.41</v>
      </c>
      <c r="H276" s="29">
        <v>11.11</v>
      </c>
      <c r="I276" s="29">
        <v>111.89</v>
      </c>
      <c r="J276" s="29">
        <v>0.03</v>
      </c>
      <c r="K276" s="29">
        <v>0.03</v>
      </c>
      <c r="L276" s="29">
        <v>11.39</v>
      </c>
      <c r="M276" s="29">
        <v>0.05</v>
      </c>
      <c r="N276" s="29">
        <v>0.099</v>
      </c>
      <c r="O276" s="29">
        <v>45.49</v>
      </c>
      <c r="P276" s="29">
        <v>29.96</v>
      </c>
      <c r="Q276" s="29">
        <v>1.44</v>
      </c>
      <c r="R276" s="57">
        <v>0.002</v>
      </c>
      <c r="S276" s="29">
        <v>15.35</v>
      </c>
      <c r="T276" s="29">
        <v>0.49</v>
      </c>
    </row>
    <row r="277" spans="1:20" s="6" customFormat="1" ht="13.5" customHeight="1">
      <c r="A277" s="32">
        <v>232</v>
      </c>
      <c r="B277" s="152" t="s">
        <v>111</v>
      </c>
      <c r="C277" s="152"/>
      <c r="D277" s="24">
        <v>75</v>
      </c>
      <c r="E277" s="23">
        <v>26.75</v>
      </c>
      <c r="F277" s="122">
        <v>8.36</v>
      </c>
      <c r="G277" s="122">
        <v>5.35</v>
      </c>
      <c r="H277" s="122">
        <v>10.45</v>
      </c>
      <c r="I277" s="122">
        <v>125.95</v>
      </c>
      <c r="J277" s="122">
        <v>0.07</v>
      </c>
      <c r="K277" s="122">
        <v>0.07</v>
      </c>
      <c r="L277" s="121">
        <v>0.42</v>
      </c>
      <c r="M277" s="122">
        <v>0</v>
      </c>
      <c r="N277" s="120">
        <v>0</v>
      </c>
      <c r="O277" s="122">
        <v>39.14</v>
      </c>
      <c r="P277" s="122">
        <v>124.85</v>
      </c>
      <c r="Q277" s="122">
        <v>0</v>
      </c>
      <c r="R277" s="123">
        <v>0</v>
      </c>
      <c r="S277" s="122">
        <v>30</v>
      </c>
      <c r="T277" s="122">
        <v>0.74</v>
      </c>
    </row>
    <row r="278" spans="1:20" s="6" customFormat="1" ht="15" customHeight="1">
      <c r="A278" s="32">
        <v>312</v>
      </c>
      <c r="B278" s="152" t="s">
        <v>64</v>
      </c>
      <c r="C278" s="152"/>
      <c r="D278" s="24">
        <v>180</v>
      </c>
      <c r="E278" s="23">
        <v>20.06</v>
      </c>
      <c r="F278" s="23">
        <v>3.948</v>
      </c>
      <c r="G278" s="23">
        <v>8.472</v>
      </c>
      <c r="H278" s="23">
        <v>26.652</v>
      </c>
      <c r="I278" s="23">
        <v>198.648</v>
      </c>
      <c r="J278" s="23">
        <v>0.192</v>
      </c>
      <c r="K278" s="23">
        <v>0.156</v>
      </c>
      <c r="L278" s="23">
        <v>0.876</v>
      </c>
      <c r="M278" s="25">
        <v>0.096</v>
      </c>
      <c r="N278" s="26">
        <v>1.8</v>
      </c>
      <c r="O278" s="23">
        <v>51.048</v>
      </c>
      <c r="P278" s="61">
        <v>117.3</v>
      </c>
      <c r="Q278" s="25">
        <v>0.359</v>
      </c>
      <c r="R278" s="25">
        <v>0.001</v>
      </c>
      <c r="S278" s="23">
        <v>39.672</v>
      </c>
      <c r="T278" s="23">
        <v>1.428</v>
      </c>
    </row>
    <row r="279" spans="1:20" s="6" customFormat="1" ht="12" customHeight="1">
      <c r="A279" s="17">
        <v>699</v>
      </c>
      <c r="B279" s="152" t="s">
        <v>77</v>
      </c>
      <c r="C279" s="152"/>
      <c r="D279" s="24">
        <v>200</v>
      </c>
      <c r="E279" s="23">
        <v>4.38</v>
      </c>
      <c r="F279" s="29">
        <v>0.1</v>
      </c>
      <c r="G279" s="30">
        <v>0</v>
      </c>
      <c r="H279" s="31">
        <v>15.7</v>
      </c>
      <c r="I279" s="29">
        <v>63.2</v>
      </c>
      <c r="J279" s="30">
        <v>0.018</v>
      </c>
      <c r="K279" s="30">
        <v>0.012</v>
      </c>
      <c r="L279" s="31">
        <v>8</v>
      </c>
      <c r="M279" s="30">
        <v>0</v>
      </c>
      <c r="N279" s="29">
        <v>0.2</v>
      </c>
      <c r="O279" s="29">
        <v>10.8</v>
      </c>
      <c r="P279" s="29">
        <v>1.7</v>
      </c>
      <c r="Q279" s="29">
        <v>0</v>
      </c>
      <c r="R279" s="57">
        <v>0</v>
      </c>
      <c r="S279" s="29">
        <v>5.8</v>
      </c>
      <c r="T279" s="29">
        <v>1.6</v>
      </c>
    </row>
    <row r="280" spans="1:20" s="6" customFormat="1" ht="11.25" customHeight="1">
      <c r="A280" s="59" t="s">
        <v>30</v>
      </c>
      <c r="B280" s="152" t="s">
        <v>43</v>
      </c>
      <c r="C280" s="152"/>
      <c r="D280" s="24">
        <v>50</v>
      </c>
      <c r="E280" s="23">
        <v>2.35</v>
      </c>
      <c r="F280" s="23">
        <f>2.64*D280/40</f>
        <v>3.3</v>
      </c>
      <c r="G280" s="23">
        <f>0.48*D280/40</f>
        <v>0.6</v>
      </c>
      <c r="H280" s="23">
        <f>13.68*D280/40</f>
        <v>17.1</v>
      </c>
      <c r="I280" s="61">
        <f>F280*4+G280*9+H280*4</f>
        <v>87</v>
      </c>
      <c r="J280" s="26">
        <f>0.08*D280/40</f>
        <v>0.1</v>
      </c>
      <c r="K280" s="23">
        <f>0.04*D280/40</f>
        <v>0.05</v>
      </c>
      <c r="L280" s="24">
        <v>0</v>
      </c>
      <c r="M280" s="24">
        <v>0</v>
      </c>
      <c r="N280" s="23">
        <f>2.4*D280/40</f>
        <v>3</v>
      </c>
      <c r="O280" s="23">
        <f>14*D280/40</f>
        <v>17.5</v>
      </c>
      <c r="P280" s="23">
        <f>63.2*D280/40</f>
        <v>79</v>
      </c>
      <c r="Q280" s="23">
        <f>1.2*D280/40</f>
        <v>1.5</v>
      </c>
      <c r="R280" s="25">
        <f>0.001*D280/40</f>
        <v>0.00125</v>
      </c>
      <c r="S280" s="23">
        <f>9.4*D280/40</f>
        <v>11.75</v>
      </c>
      <c r="T280" s="26">
        <f>0.78*D280/40</f>
        <v>0.975</v>
      </c>
    </row>
    <row r="281" spans="1:20" s="6" customFormat="1" ht="11.25" customHeight="1">
      <c r="A281" s="62" t="s">
        <v>45</v>
      </c>
      <c r="B281" s="63"/>
      <c r="C281" s="63"/>
      <c r="D281" s="39">
        <f aca="true" t="shared" si="66" ref="D281:T281">SUM(D275:D280)</f>
        <v>820</v>
      </c>
      <c r="E281" s="40">
        <f t="shared" si="66"/>
        <v>79.99999999999999</v>
      </c>
      <c r="F281" s="41">
        <f t="shared" si="66"/>
        <v>18.738</v>
      </c>
      <c r="G281" s="41">
        <f t="shared" si="66"/>
        <v>24.522</v>
      </c>
      <c r="H281" s="41">
        <f t="shared" si="66"/>
        <v>83.25200000000001</v>
      </c>
      <c r="I281" s="41">
        <f t="shared" si="66"/>
        <v>631.2080000000001</v>
      </c>
      <c r="J281" s="41">
        <f t="shared" si="66"/>
        <v>0.44000000000000006</v>
      </c>
      <c r="K281" s="41">
        <f t="shared" si="66"/>
        <v>0.35133333333333333</v>
      </c>
      <c r="L281" s="41">
        <f t="shared" si="66"/>
        <v>30.746000000000006</v>
      </c>
      <c r="M281" s="41">
        <f t="shared" si="66"/>
        <v>0.14600000000000002</v>
      </c>
      <c r="N281" s="41">
        <f t="shared" si="66"/>
        <v>6.349</v>
      </c>
      <c r="O281" s="41">
        <f t="shared" si="66"/>
        <v>175.18800000000002</v>
      </c>
      <c r="P281" s="41">
        <f t="shared" si="66"/>
        <v>373.58</v>
      </c>
      <c r="Q281" s="41">
        <f t="shared" si="66"/>
        <v>3.549</v>
      </c>
      <c r="R281" s="41">
        <f t="shared" si="66"/>
        <v>0.005916666666666667</v>
      </c>
      <c r="S281" s="41">
        <f t="shared" si="66"/>
        <v>112.332</v>
      </c>
      <c r="T281" s="41">
        <f t="shared" si="66"/>
        <v>5.673</v>
      </c>
    </row>
    <row r="282" spans="1:20" s="6" customFormat="1" ht="11.25" customHeight="1">
      <c r="A282" s="161" t="s">
        <v>35</v>
      </c>
      <c r="B282" s="161"/>
      <c r="C282" s="161"/>
      <c r="D282" s="161"/>
      <c r="E282" s="80"/>
      <c r="F282" s="87">
        <f aca="true" t="shared" si="67" ref="F282:T282">F281/F290</f>
        <v>0.2082</v>
      </c>
      <c r="G282" s="67">
        <f t="shared" si="67"/>
        <v>0.26654347826086955</v>
      </c>
      <c r="H282" s="67">
        <f t="shared" si="67"/>
        <v>0.21736814621409925</v>
      </c>
      <c r="I282" s="67">
        <f t="shared" si="67"/>
        <v>0.23206176470588238</v>
      </c>
      <c r="J282" s="67">
        <f t="shared" si="67"/>
        <v>0.31428571428571433</v>
      </c>
      <c r="K282" s="67">
        <f t="shared" si="67"/>
        <v>0.21958333333333332</v>
      </c>
      <c r="L282" s="67">
        <f t="shared" si="67"/>
        <v>0.4392285714285715</v>
      </c>
      <c r="M282" s="67">
        <f t="shared" si="67"/>
        <v>0.16222222222222224</v>
      </c>
      <c r="N282" s="67">
        <f t="shared" si="67"/>
        <v>0.5290833333333333</v>
      </c>
      <c r="O282" s="67">
        <f t="shared" si="67"/>
        <v>0.14599</v>
      </c>
      <c r="P282" s="67">
        <f t="shared" si="67"/>
        <v>0.31131666666666663</v>
      </c>
      <c r="Q282" s="67">
        <f t="shared" si="67"/>
        <v>0.2535</v>
      </c>
      <c r="R282" s="67">
        <f t="shared" si="67"/>
        <v>0.05916666666666667</v>
      </c>
      <c r="S282" s="67">
        <f t="shared" si="67"/>
        <v>0.37444</v>
      </c>
      <c r="T282" s="67">
        <f t="shared" si="67"/>
        <v>0.31516666666666665</v>
      </c>
    </row>
    <row r="283" spans="1:20" s="6" customFormat="1" ht="11.25" customHeight="1">
      <c r="A283" s="151" t="s">
        <v>46</v>
      </c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</row>
    <row r="284" spans="1:20" s="6" customFormat="1" ht="21.75" customHeight="1">
      <c r="A284" s="17">
        <v>401</v>
      </c>
      <c r="B284" s="152" t="s">
        <v>112</v>
      </c>
      <c r="C284" s="152"/>
      <c r="D284" s="26">
        <v>150</v>
      </c>
      <c r="E284" s="23">
        <v>16.83</v>
      </c>
      <c r="F284" s="23">
        <v>10.9</v>
      </c>
      <c r="G284" s="61">
        <v>11.9</v>
      </c>
      <c r="H284" s="61">
        <v>57.3</v>
      </c>
      <c r="I284" s="61">
        <f>F284*4+G284*9+H284*4</f>
        <v>379.9</v>
      </c>
      <c r="J284" s="23">
        <v>0.15</v>
      </c>
      <c r="K284" s="23">
        <v>0.15</v>
      </c>
      <c r="L284" s="23">
        <v>0.15</v>
      </c>
      <c r="M284" s="23">
        <v>0.11</v>
      </c>
      <c r="N284" s="26">
        <v>1.6</v>
      </c>
      <c r="O284" s="23">
        <v>77.25</v>
      </c>
      <c r="P284" s="23">
        <v>135.45</v>
      </c>
      <c r="Q284" s="61">
        <v>1.3</v>
      </c>
      <c r="R284" s="23">
        <v>0.01</v>
      </c>
      <c r="S284" s="61">
        <v>23.6</v>
      </c>
      <c r="T284" s="23">
        <v>0.4</v>
      </c>
    </row>
    <row r="285" spans="1:20" s="6" customFormat="1" ht="11.25" customHeight="1">
      <c r="A285" s="17">
        <v>382</v>
      </c>
      <c r="B285" s="152" t="s">
        <v>113</v>
      </c>
      <c r="C285" s="152"/>
      <c r="D285" s="24">
        <v>200</v>
      </c>
      <c r="E285" s="23">
        <v>13.17</v>
      </c>
      <c r="F285" s="23">
        <f>3.5*D285/200</f>
        <v>3.5</v>
      </c>
      <c r="G285" s="23">
        <f>3.7*D285/200</f>
        <v>3.7</v>
      </c>
      <c r="H285" s="23">
        <f>25.5*D285/200</f>
        <v>25.5</v>
      </c>
      <c r="I285" s="23">
        <f>F285*4+G285*9+H285*4</f>
        <v>149.3</v>
      </c>
      <c r="J285" s="23">
        <f>0.06*D285/200</f>
        <v>0.06</v>
      </c>
      <c r="K285" s="23">
        <f>0.006*D285/200</f>
        <v>0.006</v>
      </c>
      <c r="L285" s="23">
        <f>1.6*D285/200</f>
        <v>1.6</v>
      </c>
      <c r="M285" s="25">
        <f>0.04*D285/200</f>
        <v>0.04</v>
      </c>
      <c r="N285" s="23">
        <f>0.4*D285/200</f>
        <v>0.4</v>
      </c>
      <c r="O285" s="23">
        <f>102.6*D285/200</f>
        <v>102.6</v>
      </c>
      <c r="P285" s="23">
        <f>178.4*D285/200</f>
        <v>178.4</v>
      </c>
      <c r="Q285" s="23">
        <f>1*D285/200</f>
        <v>1</v>
      </c>
      <c r="R285" s="25">
        <f>0.001*D285/200</f>
        <v>0.001</v>
      </c>
      <c r="S285" s="23">
        <f>24.8*D285/200</f>
        <v>24.8</v>
      </c>
      <c r="T285" s="23">
        <f>0.48*D285/200</f>
        <v>0.48</v>
      </c>
    </row>
    <row r="287" spans="1:20" s="9" customFormat="1" ht="11.25" customHeight="1">
      <c r="A287" s="62" t="s">
        <v>49</v>
      </c>
      <c r="B287" s="63"/>
      <c r="C287" s="63"/>
      <c r="D287" s="39">
        <f>SUM(D284:D285)</f>
        <v>350</v>
      </c>
      <c r="E287" s="40">
        <f aca="true" t="shared" si="68" ref="E287:T287">SUM(E284:E286)</f>
        <v>30</v>
      </c>
      <c r="F287" s="41">
        <f t="shared" si="68"/>
        <v>14.4</v>
      </c>
      <c r="G287" s="42">
        <f t="shared" si="68"/>
        <v>15.600000000000001</v>
      </c>
      <c r="H287" s="42">
        <f t="shared" si="68"/>
        <v>82.8</v>
      </c>
      <c r="I287" s="42">
        <f t="shared" si="68"/>
        <v>529.2</v>
      </c>
      <c r="J287" s="41">
        <f t="shared" si="68"/>
        <v>0.21</v>
      </c>
      <c r="K287" s="41">
        <f t="shared" si="68"/>
        <v>0.156</v>
      </c>
      <c r="L287" s="42">
        <f t="shared" si="68"/>
        <v>1.75</v>
      </c>
      <c r="M287" s="42">
        <f t="shared" si="68"/>
        <v>0.15</v>
      </c>
      <c r="N287" s="42">
        <f t="shared" si="68"/>
        <v>2</v>
      </c>
      <c r="O287" s="42">
        <f t="shared" si="68"/>
        <v>179.85</v>
      </c>
      <c r="P287" s="42">
        <f t="shared" si="68"/>
        <v>313.85</v>
      </c>
      <c r="Q287" s="42">
        <f t="shared" si="68"/>
        <v>2.3</v>
      </c>
      <c r="R287" s="43">
        <f t="shared" si="68"/>
        <v>0.011</v>
      </c>
      <c r="S287" s="42">
        <f t="shared" si="68"/>
        <v>48.400000000000006</v>
      </c>
      <c r="T287" s="41">
        <f t="shared" si="68"/>
        <v>0.88</v>
      </c>
    </row>
    <row r="288" spans="1:20" s="9" customFormat="1" ht="11.25" customHeight="1">
      <c r="A288" s="161" t="s">
        <v>35</v>
      </c>
      <c r="B288" s="161"/>
      <c r="C288" s="161"/>
      <c r="D288" s="161"/>
      <c r="E288" s="44"/>
      <c r="F288" s="66">
        <f aca="true" t="shared" si="69" ref="F288:T288">F287/F290</f>
        <v>0.16</v>
      </c>
      <c r="G288" s="67">
        <f t="shared" si="69"/>
        <v>0.16956521739130437</v>
      </c>
      <c r="H288" s="67">
        <f t="shared" si="69"/>
        <v>0.21618798955613577</v>
      </c>
      <c r="I288" s="67">
        <f t="shared" si="69"/>
        <v>0.19455882352941178</v>
      </c>
      <c r="J288" s="67">
        <f t="shared" si="69"/>
        <v>0.15</v>
      </c>
      <c r="K288" s="67">
        <f t="shared" si="69"/>
        <v>0.09749999999999999</v>
      </c>
      <c r="L288" s="67">
        <f t="shared" si="69"/>
        <v>0.025</v>
      </c>
      <c r="M288" s="67">
        <f t="shared" si="69"/>
        <v>0.16666666666666666</v>
      </c>
      <c r="N288" s="67">
        <f t="shared" si="69"/>
        <v>0.16666666666666666</v>
      </c>
      <c r="O288" s="67">
        <f t="shared" si="69"/>
        <v>0.149875</v>
      </c>
      <c r="P288" s="67">
        <f t="shared" si="69"/>
        <v>0.2615416666666667</v>
      </c>
      <c r="Q288" s="67">
        <f t="shared" si="69"/>
        <v>0.16428571428571428</v>
      </c>
      <c r="R288" s="67">
        <f t="shared" si="69"/>
        <v>0.10999999999999999</v>
      </c>
      <c r="S288" s="67">
        <f t="shared" si="69"/>
        <v>0.16133333333333336</v>
      </c>
      <c r="T288" s="67">
        <f t="shared" si="69"/>
        <v>0.04888888888888889</v>
      </c>
    </row>
    <row r="289" spans="1:20" s="9" customFormat="1" ht="11.25" customHeight="1">
      <c r="A289" s="157" t="s">
        <v>50</v>
      </c>
      <c r="B289" s="157"/>
      <c r="C289" s="157"/>
      <c r="D289" s="157"/>
      <c r="E289" s="44"/>
      <c r="F289" s="41">
        <f aca="true" t="shared" si="70" ref="F289:T289">SUM(F272,F281,F287)</f>
        <v>49.76716666666666</v>
      </c>
      <c r="G289" s="42">
        <f t="shared" si="70"/>
        <v>52.17633333333333</v>
      </c>
      <c r="H289" s="42">
        <f t="shared" si="70"/>
        <v>245.83700000000005</v>
      </c>
      <c r="I289" s="42">
        <f t="shared" si="70"/>
        <v>1654.5536666666667</v>
      </c>
      <c r="J289" s="41">
        <f t="shared" si="70"/>
        <v>0.8461666666666667</v>
      </c>
      <c r="K289" s="41">
        <f t="shared" si="70"/>
        <v>0.6666666666666666</v>
      </c>
      <c r="L289" s="42">
        <f t="shared" si="70"/>
        <v>39.45516666666667</v>
      </c>
      <c r="M289" s="41">
        <f t="shared" si="70"/>
        <v>0.35</v>
      </c>
      <c r="N289" s="41">
        <f t="shared" si="70"/>
        <v>10.887333333333334</v>
      </c>
      <c r="O289" s="42">
        <f t="shared" si="70"/>
        <v>412.57983333333334</v>
      </c>
      <c r="P289" s="42">
        <f t="shared" si="70"/>
        <v>866.0703333333333</v>
      </c>
      <c r="Q289" s="41">
        <f t="shared" si="70"/>
        <v>7.964166666666666</v>
      </c>
      <c r="R289" s="43">
        <f t="shared" si="70"/>
        <v>0.08125</v>
      </c>
      <c r="S289" s="41">
        <f t="shared" si="70"/>
        <v>191.7135</v>
      </c>
      <c r="T289" s="41">
        <f t="shared" si="70"/>
        <v>9.993333333333334</v>
      </c>
    </row>
    <row r="290" spans="1:20" s="9" customFormat="1" ht="11.25" customHeight="1">
      <c r="A290" s="157" t="s">
        <v>51</v>
      </c>
      <c r="B290" s="157"/>
      <c r="C290" s="157"/>
      <c r="D290" s="157"/>
      <c r="E290" s="44"/>
      <c r="F290" s="23">
        <v>90</v>
      </c>
      <c r="G290" s="61">
        <v>92</v>
      </c>
      <c r="H290" s="61">
        <v>383</v>
      </c>
      <c r="I290" s="61">
        <v>2720</v>
      </c>
      <c r="J290" s="23">
        <v>1.4</v>
      </c>
      <c r="K290" s="23">
        <v>1.6</v>
      </c>
      <c r="L290" s="24">
        <v>70</v>
      </c>
      <c r="M290" s="23">
        <v>0.9</v>
      </c>
      <c r="N290" s="24">
        <v>12</v>
      </c>
      <c r="O290" s="24">
        <v>1200</v>
      </c>
      <c r="P290" s="24">
        <v>1200</v>
      </c>
      <c r="Q290" s="24">
        <v>14</v>
      </c>
      <c r="R290" s="61">
        <v>0.1</v>
      </c>
      <c r="S290" s="24">
        <v>300</v>
      </c>
      <c r="T290" s="23">
        <v>18</v>
      </c>
    </row>
    <row r="291" spans="1:20" s="9" customFormat="1" ht="11.25" customHeight="1">
      <c r="A291" s="161" t="s">
        <v>35</v>
      </c>
      <c r="B291" s="161"/>
      <c r="C291" s="161"/>
      <c r="D291" s="161"/>
      <c r="E291" s="44"/>
      <c r="F291" s="66">
        <f aca="true" t="shared" si="71" ref="F291:T291">F289/F290</f>
        <v>0.5529685185185185</v>
      </c>
      <c r="G291" s="67">
        <f t="shared" si="71"/>
        <v>0.5671340579710145</v>
      </c>
      <c r="H291" s="67">
        <f t="shared" si="71"/>
        <v>0.6418720626631855</v>
      </c>
      <c r="I291" s="67">
        <f t="shared" si="71"/>
        <v>0.6082917892156863</v>
      </c>
      <c r="J291" s="67">
        <f t="shared" si="71"/>
        <v>0.604404761904762</v>
      </c>
      <c r="K291" s="67">
        <f t="shared" si="71"/>
        <v>0.41666666666666663</v>
      </c>
      <c r="L291" s="68">
        <f t="shared" si="71"/>
        <v>0.5636452380952381</v>
      </c>
      <c r="M291" s="68">
        <f t="shared" si="71"/>
        <v>0.38888888888888884</v>
      </c>
      <c r="N291" s="68">
        <f t="shared" si="71"/>
        <v>0.9072777777777778</v>
      </c>
      <c r="O291" s="67">
        <f t="shared" si="71"/>
        <v>0.34381652777777777</v>
      </c>
      <c r="P291" s="67">
        <f t="shared" si="71"/>
        <v>0.7217252777777777</v>
      </c>
      <c r="Q291" s="67">
        <f t="shared" si="71"/>
        <v>0.5688690476190476</v>
      </c>
      <c r="R291" s="68">
        <f t="shared" si="71"/>
        <v>0.8125</v>
      </c>
      <c r="S291" s="67">
        <f t="shared" si="71"/>
        <v>0.6390450000000001</v>
      </c>
      <c r="T291" s="68">
        <f t="shared" si="71"/>
        <v>0.5551851851851852</v>
      </c>
    </row>
    <row r="292" spans="1:20" s="9" customFormat="1" ht="11.25" customHeight="1">
      <c r="A292" s="4"/>
      <c r="B292" s="5"/>
      <c r="C292" s="5"/>
      <c r="D292" s="6"/>
      <c r="E292" s="7"/>
      <c r="F292" s="7"/>
      <c r="G292" s="6"/>
      <c r="H292" s="6"/>
      <c r="I292" s="6"/>
      <c r="J292" s="6"/>
      <c r="K292" s="6"/>
      <c r="L292" s="6"/>
      <c r="M292" s="143" t="s">
        <v>0</v>
      </c>
      <c r="N292" s="143"/>
      <c r="O292" s="143"/>
      <c r="P292" s="143"/>
      <c r="Q292" s="143"/>
      <c r="R292" s="143"/>
      <c r="S292" s="143"/>
      <c r="T292" s="143"/>
    </row>
    <row r="293" spans="1:20" s="9" customFormat="1" ht="11.25" customHeight="1">
      <c r="A293" s="158" t="s">
        <v>114</v>
      </c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</row>
    <row r="294" spans="1:20" s="9" customFormat="1" ht="11.25" customHeight="1">
      <c r="A294" s="10" t="s">
        <v>2</v>
      </c>
      <c r="B294" s="5"/>
      <c r="C294" s="5"/>
      <c r="D294" s="8"/>
      <c r="E294" s="11"/>
      <c r="F294" s="7"/>
      <c r="G294" s="145" t="s">
        <v>86</v>
      </c>
      <c r="H294" s="145"/>
      <c r="I294" s="145"/>
      <c r="J294" s="6"/>
      <c r="K294" s="6"/>
      <c r="L294" s="146"/>
      <c r="M294" s="146"/>
      <c r="N294" s="147"/>
      <c r="O294" s="147"/>
      <c r="P294" s="147"/>
      <c r="Q294" s="147"/>
      <c r="R294" s="6"/>
      <c r="S294" s="6"/>
      <c r="T294" s="6"/>
    </row>
    <row r="295" spans="1:20" s="9" customFormat="1" ht="11.25" customHeight="1">
      <c r="A295" s="5"/>
      <c r="B295" s="5"/>
      <c r="C295" s="5"/>
      <c r="D295" s="146" t="s">
        <v>4</v>
      </c>
      <c r="E295" s="146"/>
      <c r="F295" s="146"/>
      <c r="G295" s="12">
        <v>2</v>
      </c>
      <c r="H295" s="6"/>
      <c r="I295" s="8"/>
      <c r="J295" s="8"/>
      <c r="K295" s="8"/>
      <c r="L295" s="146"/>
      <c r="M295" s="146"/>
      <c r="N295" s="145"/>
      <c r="O295" s="145"/>
      <c r="P295" s="145"/>
      <c r="Q295" s="145"/>
      <c r="R295" s="145"/>
      <c r="S295" s="145"/>
      <c r="T295" s="145"/>
    </row>
    <row r="296" spans="1:20" s="9" customFormat="1" ht="21.75" customHeight="1">
      <c r="A296" s="149" t="s">
        <v>54</v>
      </c>
      <c r="B296" s="149" t="s">
        <v>55</v>
      </c>
      <c r="C296" s="149"/>
      <c r="D296" s="149" t="s">
        <v>7</v>
      </c>
      <c r="E296" s="85"/>
      <c r="F296" s="149" t="s">
        <v>8</v>
      </c>
      <c r="G296" s="149"/>
      <c r="H296" s="149"/>
      <c r="I296" s="149" t="s">
        <v>9</v>
      </c>
      <c r="J296" s="149" t="s">
        <v>10</v>
      </c>
      <c r="K296" s="149"/>
      <c r="L296" s="149"/>
      <c r="M296" s="149"/>
      <c r="N296" s="149"/>
      <c r="O296" s="149" t="s">
        <v>11</v>
      </c>
      <c r="P296" s="149"/>
      <c r="Q296" s="149"/>
      <c r="R296" s="149"/>
      <c r="S296" s="149"/>
      <c r="T296" s="149"/>
    </row>
    <row r="297" spans="1:20" s="9" customFormat="1" ht="21" customHeight="1">
      <c r="A297" s="149"/>
      <c r="B297" s="149"/>
      <c r="C297" s="149"/>
      <c r="D297" s="149"/>
      <c r="E297" s="15"/>
      <c r="F297" s="16" t="s">
        <v>12</v>
      </c>
      <c r="G297" s="13" t="s">
        <v>13</v>
      </c>
      <c r="H297" s="13" t="s">
        <v>14</v>
      </c>
      <c r="I297" s="149"/>
      <c r="J297" s="13" t="s">
        <v>15</v>
      </c>
      <c r="K297" s="13" t="s">
        <v>16</v>
      </c>
      <c r="L297" s="13" t="s">
        <v>17</v>
      </c>
      <c r="M297" s="13" t="s">
        <v>18</v>
      </c>
      <c r="N297" s="13" t="s">
        <v>19</v>
      </c>
      <c r="O297" s="13" t="s">
        <v>20</v>
      </c>
      <c r="P297" s="13" t="s">
        <v>21</v>
      </c>
      <c r="Q297" s="13" t="s">
        <v>22</v>
      </c>
      <c r="R297" s="13" t="s">
        <v>23</v>
      </c>
      <c r="S297" s="13" t="s">
        <v>24</v>
      </c>
      <c r="T297" s="13" t="s">
        <v>25</v>
      </c>
    </row>
    <row r="298" spans="1:20" s="9" customFormat="1" ht="11.25" customHeight="1">
      <c r="A298" s="17">
        <v>1</v>
      </c>
      <c r="B298" s="150">
        <v>2</v>
      </c>
      <c r="C298" s="150"/>
      <c r="D298" s="18">
        <v>3</v>
      </c>
      <c r="E298" s="19"/>
      <c r="F298" s="18">
        <v>4</v>
      </c>
      <c r="G298" s="18">
        <v>5</v>
      </c>
      <c r="H298" s="18">
        <v>6</v>
      </c>
      <c r="I298" s="18">
        <v>7</v>
      </c>
      <c r="J298" s="18">
        <v>8</v>
      </c>
      <c r="K298" s="18">
        <v>9</v>
      </c>
      <c r="L298" s="18">
        <v>10</v>
      </c>
      <c r="M298" s="18">
        <v>11</v>
      </c>
      <c r="N298" s="18">
        <v>12</v>
      </c>
      <c r="O298" s="18">
        <v>13</v>
      </c>
      <c r="P298" s="18">
        <v>14</v>
      </c>
      <c r="Q298" s="18">
        <v>15</v>
      </c>
      <c r="R298" s="18">
        <v>16</v>
      </c>
      <c r="S298" s="18">
        <v>17</v>
      </c>
      <c r="T298" s="18">
        <v>18</v>
      </c>
    </row>
    <row r="299" spans="1:20" s="9" customFormat="1" ht="11.25" customHeight="1">
      <c r="A299" s="151" t="s">
        <v>26</v>
      </c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</row>
    <row r="300" spans="1:20" s="9" customFormat="1" ht="11.25" customHeight="1">
      <c r="A300" s="112" t="s">
        <v>30</v>
      </c>
      <c r="B300" s="152" t="s">
        <v>115</v>
      </c>
      <c r="C300" s="152"/>
      <c r="D300" s="24">
        <v>18</v>
      </c>
      <c r="E300" s="23">
        <v>4.33</v>
      </c>
      <c r="F300" s="23">
        <f>4.6*D300/20</f>
        <v>4.14</v>
      </c>
      <c r="G300" s="26">
        <f>0.24*D300/20</f>
        <v>0.21600000000000003</v>
      </c>
      <c r="H300" s="23">
        <f>10.66*D300/20</f>
        <v>9.594</v>
      </c>
      <c r="I300" s="23">
        <f>F300*4+G300*9+H300*4</f>
        <v>56.879999999999995</v>
      </c>
      <c r="J300" s="26">
        <f>0.16*D300/20</f>
        <v>0.144</v>
      </c>
      <c r="K300" s="26">
        <f>0.04*D300/20</f>
        <v>0.036</v>
      </c>
      <c r="L300" s="24">
        <v>0</v>
      </c>
      <c r="M300" s="25">
        <f>0.002*D300/20</f>
        <v>0.0018000000000000002</v>
      </c>
      <c r="N300" s="26">
        <f>1.82*D300/20</f>
        <v>1.638</v>
      </c>
      <c r="O300" s="61">
        <f>23*D300/20</f>
        <v>20.7</v>
      </c>
      <c r="P300" s="61">
        <f>65.8*D300/20</f>
        <v>59.21999999999999</v>
      </c>
      <c r="Q300" s="23">
        <f>0.64*D300/20</f>
        <v>0.576</v>
      </c>
      <c r="R300" s="25">
        <f>0.00102*D300/20</f>
        <v>0.0009180000000000001</v>
      </c>
      <c r="S300" s="61">
        <f>21.4*D300/20</f>
        <v>19.259999999999998</v>
      </c>
      <c r="T300" s="25">
        <f>0.004*D300/20</f>
        <v>0.0036000000000000003</v>
      </c>
    </row>
    <row r="301" spans="1:20" s="6" customFormat="1" ht="15" customHeight="1">
      <c r="A301" s="20">
        <v>15</v>
      </c>
      <c r="B301" s="163" t="s">
        <v>27</v>
      </c>
      <c r="C301" s="163"/>
      <c r="D301" s="21" t="s">
        <v>28</v>
      </c>
      <c r="E301" s="22">
        <v>11.25</v>
      </c>
      <c r="F301" s="23">
        <v>0.46</v>
      </c>
      <c r="G301" s="23">
        <v>0.68</v>
      </c>
      <c r="H301" s="23">
        <v>0</v>
      </c>
      <c r="I301" s="23">
        <v>7.98</v>
      </c>
      <c r="J301" s="23">
        <v>0</v>
      </c>
      <c r="K301" s="23">
        <v>0.01</v>
      </c>
      <c r="L301" s="24">
        <v>0.01</v>
      </c>
      <c r="M301" s="24">
        <v>0.005</v>
      </c>
      <c r="N301" s="23">
        <v>0.01</v>
      </c>
      <c r="O301" s="23">
        <v>17.6</v>
      </c>
      <c r="P301" s="23">
        <v>10</v>
      </c>
      <c r="Q301" s="24">
        <v>0.08</v>
      </c>
      <c r="R301" s="24">
        <v>0.004</v>
      </c>
      <c r="S301" s="23">
        <v>0.7</v>
      </c>
      <c r="T301" s="23">
        <v>0.03</v>
      </c>
    </row>
    <row r="302" spans="1:20" s="6" customFormat="1" ht="12.75" customHeight="1">
      <c r="A302" s="17">
        <v>210</v>
      </c>
      <c r="B302" s="152" t="s">
        <v>88</v>
      </c>
      <c r="C302" s="152"/>
      <c r="D302" s="24">
        <v>200</v>
      </c>
      <c r="E302" s="23">
        <v>34.45</v>
      </c>
      <c r="F302" s="93">
        <v>16.29</v>
      </c>
      <c r="G302" s="93">
        <v>18.99</v>
      </c>
      <c r="H302" s="93">
        <v>5.04</v>
      </c>
      <c r="I302" s="93">
        <v>256.23</v>
      </c>
      <c r="J302" s="93">
        <v>0.117</v>
      </c>
      <c r="K302" s="93">
        <v>0.27</v>
      </c>
      <c r="L302" s="93">
        <v>0.324</v>
      </c>
      <c r="M302" s="93">
        <v>0.036</v>
      </c>
      <c r="N302" s="94">
        <v>1.94</v>
      </c>
      <c r="O302" s="93">
        <v>131.38</v>
      </c>
      <c r="P302" s="93">
        <v>248.5</v>
      </c>
      <c r="Q302" s="93">
        <v>1.35</v>
      </c>
      <c r="R302" s="93">
        <v>0.03</v>
      </c>
      <c r="S302" s="93">
        <v>21.55</v>
      </c>
      <c r="T302" s="93">
        <v>1.51</v>
      </c>
    </row>
    <row r="303" spans="1:20" s="6" customFormat="1" ht="11.25" customHeight="1">
      <c r="A303" s="34">
        <v>377</v>
      </c>
      <c r="B303" s="148" t="s">
        <v>48</v>
      </c>
      <c r="C303" s="148"/>
      <c r="D303" s="58">
        <v>200</v>
      </c>
      <c r="E303" s="29">
        <v>3.6</v>
      </c>
      <c r="F303" s="128">
        <v>0.26</v>
      </c>
      <c r="G303" s="128">
        <v>0.06</v>
      </c>
      <c r="H303" s="128">
        <v>15.22</v>
      </c>
      <c r="I303" s="128">
        <v>62.46</v>
      </c>
      <c r="J303" s="128">
        <v>0</v>
      </c>
      <c r="K303" s="128">
        <v>0.01</v>
      </c>
      <c r="L303" s="128">
        <v>2.9</v>
      </c>
      <c r="M303" s="129">
        <v>0</v>
      </c>
      <c r="N303" s="128">
        <v>0.06</v>
      </c>
      <c r="O303" s="128">
        <v>8.05</v>
      </c>
      <c r="P303" s="128">
        <v>9.78</v>
      </c>
      <c r="Q303" s="128">
        <v>0.017</v>
      </c>
      <c r="R303" s="133">
        <v>0</v>
      </c>
      <c r="S303" s="128">
        <v>5.24</v>
      </c>
      <c r="T303" s="128">
        <v>0.87</v>
      </c>
    </row>
    <row r="304" spans="1:20" s="6" customFormat="1" ht="11.25" customHeight="1">
      <c r="A304" s="62" t="s">
        <v>34</v>
      </c>
      <c r="B304" s="63"/>
      <c r="C304" s="63"/>
      <c r="D304" s="39">
        <v>465</v>
      </c>
      <c r="E304" s="40">
        <f>SUM(E300:E303)</f>
        <v>53.63</v>
      </c>
      <c r="F304" s="41">
        <f>SUM(F300:F303)</f>
        <v>21.150000000000002</v>
      </c>
      <c r="G304" s="41">
        <f aca="true" t="shared" si="72" ref="G304:T304">SUM(G300:G303)</f>
        <v>19.945999999999998</v>
      </c>
      <c r="H304" s="41">
        <f t="shared" si="72"/>
        <v>29.854</v>
      </c>
      <c r="I304" s="41">
        <f t="shared" si="72"/>
        <v>383.55</v>
      </c>
      <c r="J304" s="41">
        <f t="shared" si="72"/>
        <v>0.261</v>
      </c>
      <c r="K304" s="41">
        <f t="shared" si="72"/>
        <v>0.326</v>
      </c>
      <c r="L304" s="41">
        <f t="shared" si="72"/>
        <v>3.234</v>
      </c>
      <c r="M304" s="41">
        <f t="shared" si="72"/>
        <v>0.0428</v>
      </c>
      <c r="N304" s="41">
        <f t="shared" si="72"/>
        <v>3.648</v>
      </c>
      <c r="O304" s="41">
        <f t="shared" si="72"/>
        <v>177.73000000000002</v>
      </c>
      <c r="P304" s="41">
        <f t="shared" si="72"/>
        <v>327.5</v>
      </c>
      <c r="Q304" s="41">
        <f t="shared" si="72"/>
        <v>2.023</v>
      </c>
      <c r="R304" s="41">
        <f t="shared" si="72"/>
        <v>0.034918</v>
      </c>
      <c r="S304" s="41">
        <f t="shared" si="72"/>
        <v>46.75</v>
      </c>
      <c r="T304" s="41">
        <f t="shared" si="72"/>
        <v>2.4136</v>
      </c>
    </row>
    <row r="305" spans="1:20" s="6" customFormat="1" ht="11.25" customHeight="1">
      <c r="A305" s="161" t="s">
        <v>35</v>
      </c>
      <c r="B305" s="161"/>
      <c r="C305" s="161"/>
      <c r="D305" s="161"/>
      <c r="E305" s="80"/>
      <c r="F305" s="87">
        <f aca="true" t="shared" si="73" ref="F305:T305">F304/F321</f>
        <v>0.23500000000000001</v>
      </c>
      <c r="G305" s="67">
        <f t="shared" si="73"/>
        <v>0.21680434782608693</v>
      </c>
      <c r="H305" s="67">
        <f t="shared" si="73"/>
        <v>0.07794778067885118</v>
      </c>
      <c r="I305" s="67">
        <f t="shared" si="73"/>
        <v>0.14101102941176472</v>
      </c>
      <c r="J305" s="67">
        <f t="shared" si="73"/>
        <v>0.18642857142857144</v>
      </c>
      <c r="K305" s="67">
        <f t="shared" si="73"/>
        <v>0.20375</v>
      </c>
      <c r="L305" s="67">
        <f t="shared" si="73"/>
        <v>0.0462</v>
      </c>
      <c r="M305" s="67">
        <f t="shared" si="73"/>
        <v>0.04755555555555555</v>
      </c>
      <c r="N305" s="67">
        <f t="shared" si="73"/>
        <v>0.304</v>
      </c>
      <c r="O305" s="67">
        <f t="shared" si="73"/>
        <v>0.14810833333333334</v>
      </c>
      <c r="P305" s="67">
        <f t="shared" si="73"/>
        <v>0.27291666666666664</v>
      </c>
      <c r="Q305" s="67">
        <f t="shared" si="73"/>
        <v>0.14450000000000002</v>
      </c>
      <c r="R305" s="67">
        <f t="shared" si="73"/>
        <v>0.34917999999999993</v>
      </c>
      <c r="S305" s="67">
        <f t="shared" si="73"/>
        <v>0.15583333333333332</v>
      </c>
      <c r="T305" s="67">
        <f t="shared" si="73"/>
        <v>0.1340888888888889</v>
      </c>
    </row>
    <row r="306" spans="1:20" s="6" customFormat="1" ht="11.25" customHeight="1">
      <c r="A306" s="151" t="s">
        <v>36</v>
      </c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</row>
    <row r="307" spans="1:20" s="6" customFormat="1" ht="22.5" customHeight="1">
      <c r="A307" s="17">
        <v>24</v>
      </c>
      <c r="B307" s="176" t="s">
        <v>74</v>
      </c>
      <c r="C307" s="176"/>
      <c r="D307" s="174">
        <v>85</v>
      </c>
      <c r="E307" s="175">
        <v>15.99</v>
      </c>
      <c r="F307" s="29">
        <v>0.59</v>
      </c>
      <c r="G307" s="29">
        <v>3.69</v>
      </c>
      <c r="H307" s="29">
        <v>2.24</v>
      </c>
      <c r="I307" s="29">
        <v>44.52</v>
      </c>
      <c r="J307" s="29">
        <v>0.03</v>
      </c>
      <c r="K307" s="29">
        <v>0.03333333333333333</v>
      </c>
      <c r="L307" s="29">
        <v>10.06</v>
      </c>
      <c r="M307" s="57">
        <v>0</v>
      </c>
      <c r="N307" s="29">
        <v>1.25</v>
      </c>
      <c r="O307" s="29">
        <v>11.21</v>
      </c>
      <c r="P307" s="29">
        <v>20.77</v>
      </c>
      <c r="Q307" s="29">
        <v>0.25</v>
      </c>
      <c r="R307" s="57">
        <v>0.0016666666666666668</v>
      </c>
      <c r="S307" s="29">
        <v>9.76</v>
      </c>
      <c r="T307" s="29">
        <v>0.44</v>
      </c>
    </row>
    <row r="308" spans="1:20" s="6" customFormat="1" ht="22.5" customHeight="1">
      <c r="A308" s="17">
        <v>113</v>
      </c>
      <c r="B308" s="152" t="s">
        <v>116</v>
      </c>
      <c r="C308" s="152"/>
      <c r="D308" s="24">
        <v>250</v>
      </c>
      <c r="E308" s="23">
        <v>10.37</v>
      </c>
      <c r="F308" s="29">
        <v>8.71</v>
      </c>
      <c r="G308" s="29">
        <v>8.77</v>
      </c>
      <c r="H308" s="29">
        <v>23.67</v>
      </c>
      <c r="I308" s="29">
        <v>208.45</v>
      </c>
      <c r="J308" s="57">
        <v>0.23</v>
      </c>
      <c r="K308" s="57">
        <v>0.21</v>
      </c>
      <c r="L308" s="29">
        <v>5.302</v>
      </c>
      <c r="M308" s="29">
        <v>1.04</v>
      </c>
      <c r="N308" s="30">
        <v>0.379</v>
      </c>
      <c r="O308" s="31">
        <v>43.8</v>
      </c>
      <c r="P308" s="31">
        <v>95.75</v>
      </c>
      <c r="Q308" s="58">
        <v>0.13</v>
      </c>
      <c r="R308" s="58">
        <v>0.001</v>
      </c>
      <c r="S308" s="31">
        <v>18.3</v>
      </c>
      <c r="T308" s="29">
        <v>1.25</v>
      </c>
    </row>
    <row r="309" spans="1:20" s="6" customFormat="1" ht="12" customHeight="1">
      <c r="A309" s="17">
        <v>295</v>
      </c>
      <c r="B309" s="152" t="s">
        <v>90</v>
      </c>
      <c r="C309" s="152"/>
      <c r="D309" s="26">
        <v>80</v>
      </c>
      <c r="E309" s="23">
        <v>30.85</v>
      </c>
      <c r="F309" s="93">
        <v>12.192</v>
      </c>
      <c r="G309" s="103">
        <v>4.64</v>
      </c>
      <c r="H309" s="103">
        <v>8.128</v>
      </c>
      <c r="I309" s="93">
        <v>250</v>
      </c>
      <c r="J309" s="94">
        <v>0.072</v>
      </c>
      <c r="K309" s="93">
        <v>0.064</v>
      </c>
      <c r="L309" s="93">
        <v>0.192</v>
      </c>
      <c r="M309" s="94">
        <v>0.0008</v>
      </c>
      <c r="N309" s="94">
        <v>0.0592</v>
      </c>
      <c r="O309" s="103">
        <v>11.223999999999998</v>
      </c>
      <c r="P309" s="103">
        <v>75.18400000000001</v>
      </c>
      <c r="Q309" s="93">
        <v>0.9359999999999999</v>
      </c>
      <c r="R309" s="104">
        <v>0.032</v>
      </c>
      <c r="S309" s="103">
        <v>12.991999999999997</v>
      </c>
      <c r="T309" s="93">
        <v>1.5119999999999998</v>
      </c>
    </row>
    <row r="310" spans="1:20" s="6" customFormat="1" ht="12.75" customHeight="1">
      <c r="A310" s="32">
        <v>171</v>
      </c>
      <c r="B310" s="152" t="s">
        <v>102</v>
      </c>
      <c r="C310" s="152"/>
      <c r="D310" s="24">
        <v>180</v>
      </c>
      <c r="E310" s="23">
        <v>14.94</v>
      </c>
      <c r="F310" s="29">
        <v>7.884</v>
      </c>
      <c r="G310" s="29">
        <v>5.028</v>
      </c>
      <c r="H310" s="29">
        <v>38.784</v>
      </c>
      <c r="I310" s="29">
        <v>231.924</v>
      </c>
      <c r="J310" s="57">
        <v>0.072</v>
      </c>
      <c r="K310" s="57">
        <v>0.036</v>
      </c>
      <c r="L310" s="30">
        <v>0</v>
      </c>
      <c r="M310" s="57">
        <v>0.036</v>
      </c>
      <c r="N310" s="30">
        <v>3.06</v>
      </c>
      <c r="O310" s="29">
        <v>21.744</v>
      </c>
      <c r="P310" s="29">
        <v>188.436</v>
      </c>
      <c r="Q310" s="57">
        <v>1.068</v>
      </c>
      <c r="R310" s="57">
        <v>0.002</v>
      </c>
      <c r="S310" s="29">
        <v>125.34</v>
      </c>
      <c r="T310" s="29">
        <v>4.26</v>
      </c>
    </row>
    <row r="311" spans="1:20" s="6" customFormat="1" ht="26.25" customHeight="1">
      <c r="A311" s="17">
        <v>345</v>
      </c>
      <c r="B311" s="152" t="s">
        <v>65</v>
      </c>
      <c r="C311" s="152"/>
      <c r="D311" s="24">
        <v>200</v>
      </c>
      <c r="E311" s="23">
        <v>5.5</v>
      </c>
      <c r="F311" s="29">
        <v>0.06</v>
      </c>
      <c r="G311" s="29">
        <v>0.02</v>
      </c>
      <c r="H311" s="29">
        <v>20.73</v>
      </c>
      <c r="I311" s="29">
        <v>83.34</v>
      </c>
      <c r="J311" s="30">
        <v>0</v>
      </c>
      <c r="K311" s="30">
        <v>0</v>
      </c>
      <c r="L311" s="31">
        <v>2.5</v>
      </c>
      <c r="M311" s="30">
        <v>0.004</v>
      </c>
      <c r="N311" s="30">
        <v>0.2</v>
      </c>
      <c r="O311" s="31">
        <v>4</v>
      </c>
      <c r="P311" s="31">
        <v>3.3</v>
      </c>
      <c r="Q311" s="31">
        <v>0.08</v>
      </c>
      <c r="R311" s="31">
        <v>0.001</v>
      </c>
      <c r="S311" s="31">
        <v>1.7</v>
      </c>
      <c r="T311" s="29">
        <v>0.15</v>
      </c>
    </row>
    <row r="312" spans="1:20" s="6" customFormat="1" ht="11.25" customHeight="1">
      <c r="A312" s="59" t="s">
        <v>30</v>
      </c>
      <c r="B312" s="152" t="s">
        <v>43</v>
      </c>
      <c r="C312" s="152"/>
      <c r="D312" s="24">
        <v>50</v>
      </c>
      <c r="E312" s="23">
        <v>2.35</v>
      </c>
      <c r="F312" s="23">
        <f>2.64*D312/40</f>
        <v>3.3</v>
      </c>
      <c r="G312" s="23">
        <f>0.48*D312/40</f>
        <v>0.6</v>
      </c>
      <c r="H312" s="23">
        <f>13.68*D312/40</f>
        <v>17.1</v>
      </c>
      <c r="I312" s="61">
        <f>F312*4+G312*9+H312*4</f>
        <v>87</v>
      </c>
      <c r="J312" s="26">
        <f>0.08*D312/40</f>
        <v>0.1</v>
      </c>
      <c r="K312" s="23">
        <f>0.04*D312/40</f>
        <v>0.05</v>
      </c>
      <c r="L312" s="24">
        <v>0</v>
      </c>
      <c r="M312" s="24">
        <v>0</v>
      </c>
      <c r="N312" s="23">
        <f>2.4*D312/40</f>
        <v>3</v>
      </c>
      <c r="O312" s="23">
        <f>14*D312/40</f>
        <v>17.5</v>
      </c>
      <c r="P312" s="23">
        <f>63.2*D312/40</f>
        <v>79</v>
      </c>
      <c r="Q312" s="23">
        <f>1.2*D312/40</f>
        <v>1.5</v>
      </c>
      <c r="R312" s="25">
        <f>0.001*D312/40</f>
        <v>0.00125</v>
      </c>
      <c r="S312" s="23">
        <f>9.4*D312/40</f>
        <v>11.75</v>
      </c>
      <c r="T312" s="26">
        <f>0.78*D312/40</f>
        <v>0.975</v>
      </c>
    </row>
    <row r="313" spans="1:20" s="6" customFormat="1" ht="11.25" customHeight="1">
      <c r="A313" s="62" t="s">
        <v>45</v>
      </c>
      <c r="B313" s="63"/>
      <c r="C313" s="63"/>
      <c r="D313" s="39">
        <f aca="true" t="shared" si="74" ref="D313:T313">SUM(D307:D312)</f>
        <v>845</v>
      </c>
      <c r="E313" s="40">
        <f t="shared" si="74"/>
        <v>80</v>
      </c>
      <c r="F313" s="41">
        <f t="shared" si="74"/>
        <v>32.736</v>
      </c>
      <c r="G313" s="41">
        <f t="shared" si="74"/>
        <v>22.747999999999998</v>
      </c>
      <c r="H313" s="41">
        <f t="shared" si="74"/>
        <v>110.65200000000002</v>
      </c>
      <c r="I313" s="41">
        <f t="shared" si="74"/>
        <v>905.234</v>
      </c>
      <c r="J313" s="41">
        <f t="shared" si="74"/>
        <v>0.504</v>
      </c>
      <c r="K313" s="41">
        <f t="shared" si="74"/>
        <v>0.3933333333333333</v>
      </c>
      <c r="L313" s="41">
        <f t="shared" si="74"/>
        <v>18.054000000000002</v>
      </c>
      <c r="M313" s="41">
        <f t="shared" si="74"/>
        <v>1.0808</v>
      </c>
      <c r="N313" s="41">
        <f t="shared" si="74"/>
        <v>7.9482</v>
      </c>
      <c r="O313" s="41">
        <f t="shared" si="74"/>
        <v>109.478</v>
      </c>
      <c r="P313" s="41">
        <f t="shared" si="74"/>
        <v>462.44</v>
      </c>
      <c r="Q313" s="41">
        <f t="shared" si="74"/>
        <v>3.964</v>
      </c>
      <c r="R313" s="41">
        <f t="shared" si="74"/>
        <v>0.03891666666666667</v>
      </c>
      <c r="S313" s="41">
        <f t="shared" si="74"/>
        <v>179.84199999999998</v>
      </c>
      <c r="T313" s="41">
        <f t="shared" si="74"/>
        <v>8.587</v>
      </c>
    </row>
    <row r="314" spans="1:20" s="6" customFormat="1" ht="11.25" customHeight="1">
      <c r="A314" s="161" t="s">
        <v>35</v>
      </c>
      <c r="B314" s="161"/>
      <c r="C314" s="161"/>
      <c r="D314" s="161"/>
      <c r="E314" s="44"/>
      <c r="F314" s="66">
        <f aca="true" t="shared" si="75" ref="F314:T314">F313/F321</f>
        <v>0.3637333333333333</v>
      </c>
      <c r="G314" s="67">
        <f t="shared" si="75"/>
        <v>0.24726086956521737</v>
      </c>
      <c r="H314" s="67">
        <f t="shared" si="75"/>
        <v>0.2889086161879896</v>
      </c>
      <c r="I314" s="67">
        <f t="shared" si="75"/>
        <v>0.3328066176470588</v>
      </c>
      <c r="J314" s="67">
        <f t="shared" si="75"/>
        <v>0.36000000000000004</v>
      </c>
      <c r="K314" s="67">
        <f t="shared" si="75"/>
        <v>0.24583333333333332</v>
      </c>
      <c r="L314" s="67">
        <f t="shared" si="75"/>
        <v>0.25791428571428576</v>
      </c>
      <c r="M314" s="67">
        <f t="shared" si="75"/>
        <v>1.200888888888889</v>
      </c>
      <c r="N314" s="67">
        <f t="shared" si="75"/>
        <v>0.66235</v>
      </c>
      <c r="O314" s="67">
        <f t="shared" si="75"/>
        <v>0.09123166666666666</v>
      </c>
      <c r="P314" s="67">
        <f t="shared" si="75"/>
        <v>0.3853666666666667</v>
      </c>
      <c r="Q314" s="67">
        <f t="shared" si="75"/>
        <v>0.28314285714285714</v>
      </c>
      <c r="R314" s="67">
        <f t="shared" si="75"/>
        <v>0.38916666666666666</v>
      </c>
      <c r="S314" s="67">
        <f t="shared" si="75"/>
        <v>0.5994733333333333</v>
      </c>
      <c r="T314" s="67">
        <f t="shared" si="75"/>
        <v>0.47705555555555557</v>
      </c>
    </row>
    <row r="315" spans="1:20" s="6" customFormat="1" ht="11.25" customHeight="1">
      <c r="A315" s="151" t="s">
        <v>46</v>
      </c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</row>
    <row r="316" spans="1:20" s="6" customFormat="1" ht="11.25" customHeight="1">
      <c r="A316" s="20"/>
      <c r="B316" s="152" t="s">
        <v>117</v>
      </c>
      <c r="C316" s="152"/>
      <c r="D316" s="26" t="s">
        <v>96</v>
      </c>
      <c r="E316" s="23">
        <v>26.7</v>
      </c>
      <c r="F316" s="23">
        <v>0.4</v>
      </c>
      <c r="G316" s="23">
        <v>0.4</v>
      </c>
      <c r="H316" s="23">
        <v>9.8</v>
      </c>
      <c r="I316" s="23">
        <f>F316*4+G316*9+H316*4</f>
        <v>44.400000000000006</v>
      </c>
      <c r="J316" s="23">
        <v>0.04</v>
      </c>
      <c r="K316" s="23">
        <v>0.02</v>
      </c>
      <c r="L316" s="24">
        <v>10</v>
      </c>
      <c r="M316" s="24">
        <v>0.02</v>
      </c>
      <c r="N316" s="23">
        <v>0.2</v>
      </c>
      <c r="O316" s="23">
        <v>16</v>
      </c>
      <c r="P316" s="23">
        <v>11</v>
      </c>
      <c r="Q316" s="24">
        <v>0.03</v>
      </c>
      <c r="R316" s="24">
        <v>0.002</v>
      </c>
      <c r="S316" s="23">
        <v>9</v>
      </c>
      <c r="T316" s="23">
        <v>2.2</v>
      </c>
    </row>
    <row r="317" spans="1:20" s="6" customFormat="1" ht="11.25" customHeight="1">
      <c r="A317" s="34">
        <v>377</v>
      </c>
      <c r="B317" s="148" t="s">
        <v>48</v>
      </c>
      <c r="C317" s="148"/>
      <c r="D317" s="58">
        <v>200</v>
      </c>
      <c r="E317" s="29">
        <v>3.6</v>
      </c>
      <c r="F317" s="128">
        <v>0.26</v>
      </c>
      <c r="G317" s="128">
        <v>0.06</v>
      </c>
      <c r="H317" s="128">
        <v>15.22</v>
      </c>
      <c r="I317" s="128">
        <v>62.46</v>
      </c>
      <c r="J317" s="128">
        <v>0</v>
      </c>
      <c r="K317" s="128">
        <v>0.01</v>
      </c>
      <c r="L317" s="128">
        <v>2.9</v>
      </c>
      <c r="M317" s="129">
        <v>0</v>
      </c>
      <c r="N317" s="128">
        <v>0.06</v>
      </c>
      <c r="O317" s="128">
        <v>6</v>
      </c>
      <c r="P317" s="128">
        <v>0</v>
      </c>
      <c r="Q317" s="128">
        <v>0.017</v>
      </c>
      <c r="R317" s="133">
        <v>0</v>
      </c>
      <c r="S317" s="128">
        <v>0</v>
      </c>
      <c r="T317" s="128">
        <v>0.4</v>
      </c>
    </row>
    <row r="318" spans="1:20" s="9" customFormat="1" ht="11.25" customHeight="1">
      <c r="A318" s="62" t="s">
        <v>49</v>
      </c>
      <c r="B318" s="63"/>
      <c r="C318" s="63"/>
      <c r="D318" s="39">
        <v>340</v>
      </c>
      <c r="E318" s="40">
        <f aca="true" t="shared" si="76" ref="E318:T318">SUM(E316:E317)</f>
        <v>30.3</v>
      </c>
      <c r="F318" s="41">
        <f t="shared" si="76"/>
        <v>0.66</v>
      </c>
      <c r="G318" s="42">
        <f t="shared" si="76"/>
        <v>0.46</v>
      </c>
      <c r="H318" s="42">
        <f t="shared" si="76"/>
        <v>25.020000000000003</v>
      </c>
      <c r="I318" s="42">
        <f t="shared" si="76"/>
        <v>106.86000000000001</v>
      </c>
      <c r="J318" s="42">
        <f t="shared" si="76"/>
        <v>0.04</v>
      </c>
      <c r="K318" s="42">
        <f t="shared" si="76"/>
        <v>0.03</v>
      </c>
      <c r="L318" s="42">
        <f t="shared" si="76"/>
        <v>12.9</v>
      </c>
      <c r="M318" s="41">
        <f t="shared" si="76"/>
        <v>0.02</v>
      </c>
      <c r="N318" s="41">
        <f t="shared" si="76"/>
        <v>0.26</v>
      </c>
      <c r="O318" s="42">
        <f t="shared" si="76"/>
        <v>22</v>
      </c>
      <c r="P318" s="42">
        <f t="shared" si="76"/>
        <v>11</v>
      </c>
      <c r="Q318" s="42">
        <f t="shared" si="76"/>
        <v>0.047</v>
      </c>
      <c r="R318" s="43">
        <f t="shared" si="76"/>
        <v>0.002</v>
      </c>
      <c r="S318" s="42">
        <f t="shared" si="76"/>
        <v>9</v>
      </c>
      <c r="T318" s="41">
        <f t="shared" si="76"/>
        <v>2.6</v>
      </c>
    </row>
    <row r="319" spans="1:20" s="9" customFormat="1" ht="11.25" customHeight="1">
      <c r="A319" s="161" t="s">
        <v>35</v>
      </c>
      <c r="B319" s="161"/>
      <c r="C319" s="161"/>
      <c r="D319" s="161"/>
      <c r="E319" s="44"/>
      <c r="F319" s="66">
        <f aca="true" t="shared" si="77" ref="F319:T319">F318/F321</f>
        <v>0.007333333333333334</v>
      </c>
      <c r="G319" s="67">
        <f t="shared" si="77"/>
        <v>0.005</v>
      </c>
      <c r="H319" s="67">
        <f t="shared" si="77"/>
        <v>0.06532637075718016</v>
      </c>
      <c r="I319" s="67">
        <f t="shared" si="77"/>
        <v>0.03928676470588236</v>
      </c>
      <c r="J319" s="67">
        <f t="shared" si="77"/>
        <v>0.028571428571428574</v>
      </c>
      <c r="K319" s="67">
        <f t="shared" si="77"/>
        <v>0.01875</v>
      </c>
      <c r="L319" s="67">
        <f t="shared" si="77"/>
        <v>0.1842857142857143</v>
      </c>
      <c r="M319" s="67">
        <f t="shared" si="77"/>
        <v>0.022222222222222223</v>
      </c>
      <c r="N319" s="67">
        <f t="shared" si="77"/>
        <v>0.021666666666666667</v>
      </c>
      <c r="O319" s="67">
        <f t="shared" si="77"/>
        <v>0.018333333333333333</v>
      </c>
      <c r="P319" s="67">
        <f t="shared" si="77"/>
        <v>0.009166666666666667</v>
      </c>
      <c r="Q319" s="67">
        <f t="shared" si="77"/>
        <v>0.003357142857142857</v>
      </c>
      <c r="R319" s="67">
        <f t="shared" si="77"/>
        <v>0.02</v>
      </c>
      <c r="S319" s="67">
        <f t="shared" si="77"/>
        <v>0.03</v>
      </c>
      <c r="T319" s="67">
        <f t="shared" si="77"/>
        <v>0.14444444444444446</v>
      </c>
    </row>
    <row r="320" spans="1:20" s="9" customFormat="1" ht="11.25" customHeight="1">
      <c r="A320" s="157" t="s">
        <v>50</v>
      </c>
      <c r="B320" s="157"/>
      <c r="C320" s="157"/>
      <c r="D320" s="157"/>
      <c r="E320" s="44"/>
      <c r="F320" s="41">
        <f aca="true" t="shared" si="78" ref="F320:T320">SUM(F304,F313,F318)</f>
        <v>54.54599999999999</v>
      </c>
      <c r="G320" s="42">
        <f t="shared" si="78"/>
        <v>43.153999999999996</v>
      </c>
      <c r="H320" s="42">
        <f t="shared" si="78"/>
        <v>165.52600000000004</v>
      </c>
      <c r="I320" s="42">
        <f t="shared" si="78"/>
        <v>1395.6440000000002</v>
      </c>
      <c r="J320" s="41">
        <f t="shared" si="78"/>
        <v>0.805</v>
      </c>
      <c r="K320" s="41">
        <f t="shared" si="78"/>
        <v>0.7493333333333334</v>
      </c>
      <c r="L320" s="42">
        <f t="shared" si="78"/>
        <v>34.188</v>
      </c>
      <c r="M320" s="41">
        <f t="shared" si="78"/>
        <v>1.1436</v>
      </c>
      <c r="N320" s="41">
        <f t="shared" si="78"/>
        <v>11.8562</v>
      </c>
      <c r="O320" s="42">
        <f t="shared" si="78"/>
        <v>309.208</v>
      </c>
      <c r="P320" s="42">
        <f t="shared" si="78"/>
        <v>800.94</v>
      </c>
      <c r="Q320" s="41">
        <f t="shared" si="78"/>
        <v>6.034</v>
      </c>
      <c r="R320" s="43">
        <f t="shared" si="78"/>
        <v>0.07583466666666666</v>
      </c>
      <c r="S320" s="41">
        <f t="shared" si="78"/>
        <v>235.59199999999998</v>
      </c>
      <c r="T320" s="41">
        <f t="shared" si="78"/>
        <v>13.6006</v>
      </c>
    </row>
    <row r="321" spans="1:20" s="9" customFormat="1" ht="11.25" customHeight="1">
      <c r="A321" s="157" t="s">
        <v>51</v>
      </c>
      <c r="B321" s="157"/>
      <c r="C321" s="157"/>
      <c r="D321" s="157"/>
      <c r="E321" s="44"/>
      <c r="F321" s="23">
        <v>90</v>
      </c>
      <c r="G321" s="61">
        <v>92</v>
      </c>
      <c r="H321" s="61">
        <v>383</v>
      </c>
      <c r="I321" s="61">
        <v>2720</v>
      </c>
      <c r="J321" s="23">
        <v>1.4</v>
      </c>
      <c r="K321" s="23">
        <v>1.6</v>
      </c>
      <c r="L321" s="24">
        <v>70</v>
      </c>
      <c r="M321" s="23">
        <v>0.9</v>
      </c>
      <c r="N321" s="24">
        <v>12</v>
      </c>
      <c r="O321" s="24">
        <v>1200</v>
      </c>
      <c r="P321" s="24">
        <v>1200</v>
      </c>
      <c r="Q321" s="24">
        <v>14</v>
      </c>
      <c r="R321" s="61">
        <v>0.1</v>
      </c>
      <c r="S321" s="24">
        <v>300</v>
      </c>
      <c r="T321" s="23">
        <v>18</v>
      </c>
    </row>
    <row r="322" spans="1:20" s="9" customFormat="1" ht="11.25" customHeight="1">
      <c r="A322" s="161" t="s">
        <v>35</v>
      </c>
      <c r="B322" s="161"/>
      <c r="C322" s="161"/>
      <c r="D322" s="161"/>
      <c r="E322" s="44"/>
      <c r="F322" s="66">
        <f aca="true" t="shared" si="79" ref="F322:T322">F320/F321</f>
        <v>0.6060666666666665</v>
      </c>
      <c r="G322" s="67">
        <f t="shared" si="79"/>
        <v>0.4690652173913043</v>
      </c>
      <c r="H322" s="67">
        <f t="shared" si="79"/>
        <v>0.43218276762402097</v>
      </c>
      <c r="I322" s="67">
        <f t="shared" si="79"/>
        <v>0.513104411764706</v>
      </c>
      <c r="J322" s="67">
        <f t="shared" si="79"/>
        <v>0.5750000000000001</v>
      </c>
      <c r="K322" s="67">
        <f t="shared" si="79"/>
        <v>0.4683333333333334</v>
      </c>
      <c r="L322" s="67">
        <f t="shared" si="79"/>
        <v>0.48840000000000006</v>
      </c>
      <c r="M322" s="68">
        <f t="shared" si="79"/>
        <v>1.2706666666666666</v>
      </c>
      <c r="N322" s="67">
        <f t="shared" si="79"/>
        <v>0.9880166666666667</v>
      </c>
      <c r="O322" s="67">
        <f t="shared" si="79"/>
        <v>0.25767333333333337</v>
      </c>
      <c r="P322" s="67">
        <f t="shared" si="79"/>
        <v>0.6674500000000001</v>
      </c>
      <c r="Q322" s="67">
        <f t="shared" si="79"/>
        <v>0.431</v>
      </c>
      <c r="R322" s="68">
        <f t="shared" si="79"/>
        <v>0.7583466666666666</v>
      </c>
      <c r="S322" s="67">
        <f t="shared" si="79"/>
        <v>0.7853066666666666</v>
      </c>
      <c r="T322" s="68">
        <f t="shared" si="79"/>
        <v>0.7555888888888889</v>
      </c>
    </row>
    <row r="323" spans="1:20" s="9" customFormat="1" ht="11.25" customHeight="1">
      <c r="A323" s="5" t="s">
        <v>68</v>
      </c>
      <c r="B323" s="5"/>
      <c r="C323" s="69"/>
      <c r="D323" s="69"/>
      <c r="E323" s="70"/>
      <c r="F323" s="11"/>
      <c r="G323" s="6"/>
      <c r="H323" s="8"/>
      <c r="I323" s="8"/>
      <c r="J323" s="6"/>
      <c r="K323" s="6"/>
      <c r="L323" s="6"/>
      <c r="M323" s="143" t="s">
        <v>0</v>
      </c>
      <c r="N323" s="143"/>
      <c r="O323" s="143"/>
      <c r="P323" s="143"/>
      <c r="Q323" s="143"/>
      <c r="R323" s="143"/>
      <c r="S323" s="143"/>
      <c r="T323" s="143"/>
    </row>
    <row r="324" spans="1:20" s="9" customFormat="1" ht="11.25" customHeight="1">
      <c r="A324" s="5"/>
      <c r="B324" s="5"/>
      <c r="C324" s="69"/>
      <c r="D324" s="69"/>
      <c r="E324" s="70"/>
      <c r="F324" s="11"/>
      <c r="G324" s="6"/>
      <c r="H324" s="8"/>
      <c r="I324" s="8"/>
      <c r="J324" s="6"/>
      <c r="K324" s="6"/>
      <c r="L324" s="6"/>
      <c r="M324" s="84"/>
      <c r="N324" s="84"/>
      <c r="O324" s="84"/>
      <c r="P324" s="84"/>
      <c r="Q324" s="84"/>
      <c r="R324" s="84"/>
      <c r="S324" s="84"/>
      <c r="T324" s="84"/>
    </row>
    <row r="325" spans="1:20" ht="11.25" customHeight="1">
      <c r="A325" s="5"/>
      <c r="B325" s="5"/>
      <c r="C325" s="5"/>
      <c r="D325" s="6"/>
      <c r="E325" s="7"/>
      <c r="F325" s="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29.25" customHeight="1">
      <c r="A326" s="172" t="s">
        <v>118</v>
      </c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</row>
    <row r="327" spans="1:20" ht="29.25" customHeight="1">
      <c r="A327" s="113"/>
      <c r="B327" s="113"/>
      <c r="C327" s="113"/>
      <c r="D327" s="114"/>
      <c r="E327" s="115"/>
      <c r="F327" s="115"/>
      <c r="G327" s="114"/>
      <c r="H327" s="116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</row>
    <row r="328" spans="1:20" s="119" customFormat="1" ht="13.5" customHeight="1">
      <c r="A328" s="117"/>
      <c r="B328" s="117"/>
      <c r="C328" s="117"/>
      <c r="D328" s="117"/>
      <c r="E328" s="118"/>
      <c r="F328" s="118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</row>
  </sheetData>
  <sheetProtection selectLockedCells="1" selectUnlockedCells="1"/>
  <mergeCells count="377">
    <mergeCell ref="M323:T323"/>
    <mergeCell ref="A326:T326"/>
    <mergeCell ref="B316:C316"/>
    <mergeCell ref="B317:C317"/>
    <mergeCell ref="A319:D319"/>
    <mergeCell ref="A320:D320"/>
    <mergeCell ref="A322:D322"/>
    <mergeCell ref="B310:C310"/>
    <mergeCell ref="B311:C311"/>
    <mergeCell ref="B312:C312"/>
    <mergeCell ref="A314:D314"/>
    <mergeCell ref="A315:T315"/>
    <mergeCell ref="B307:C307"/>
    <mergeCell ref="B308:C308"/>
    <mergeCell ref="B309:C309"/>
    <mergeCell ref="A321:D321"/>
    <mergeCell ref="B302:C302"/>
    <mergeCell ref="B303:C303"/>
    <mergeCell ref="A305:D305"/>
    <mergeCell ref="A306:T306"/>
    <mergeCell ref="B298:C298"/>
    <mergeCell ref="A299:T299"/>
    <mergeCell ref="B300:C300"/>
    <mergeCell ref="B301:C301"/>
    <mergeCell ref="D295:F295"/>
    <mergeCell ref="L295:M295"/>
    <mergeCell ref="N295:T295"/>
    <mergeCell ref="A296:A297"/>
    <mergeCell ref="B296:C297"/>
    <mergeCell ref="D296:D297"/>
    <mergeCell ref="F296:H296"/>
    <mergeCell ref="I296:I297"/>
    <mergeCell ref="J296:N296"/>
    <mergeCell ref="O296:T296"/>
    <mergeCell ref="A293:T293"/>
    <mergeCell ref="G294:I294"/>
    <mergeCell ref="L294:M294"/>
    <mergeCell ref="N294:Q294"/>
    <mergeCell ref="A289:D289"/>
    <mergeCell ref="A290:D290"/>
    <mergeCell ref="A291:D291"/>
    <mergeCell ref="M292:T292"/>
    <mergeCell ref="A283:T283"/>
    <mergeCell ref="B284:C284"/>
    <mergeCell ref="B285:C285"/>
    <mergeCell ref="A288:D288"/>
    <mergeCell ref="A282:D282"/>
    <mergeCell ref="B270:C270"/>
    <mergeCell ref="B271:C271"/>
    <mergeCell ref="A273:D273"/>
    <mergeCell ref="A274:T274"/>
    <mergeCell ref="B275:C275"/>
    <mergeCell ref="B277:C277"/>
    <mergeCell ref="B278:C278"/>
    <mergeCell ref="B279:C279"/>
    <mergeCell ref="B280:C280"/>
    <mergeCell ref="B276:C276"/>
    <mergeCell ref="B265:C265"/>
    <mergeCell ref="A266:T266"/>
    <mergeCell ref="B267:C267"/>
    <mergeCell ref="B268:C268"/>
    <mergeCell ref="B269:C269"/>
    <mergeCell ref="D262:F262"/>
    <mergeCell ref="L262:M262"/>
    <mergeCell ref="N262:T262"/>
    <mergeCell ref="A263:A264"/>
    <mergeCell ref="B263:C264"/>
    <mergeCell ref="D263:D264"/>
    <mergeCell ref="F263:H263"/>
    <mergeCell ref="I263:I264"/>
    <mergeCell ref="J263:N263"/>
    <mergeCell ref="O263:T263"/>
    <mergeCell ref="A254:D254"/>
    <mergeCell ref="A255:D255"/>
    <mergeCell ref="A256:D256"/>
    <mergeCell ref="A257:D257"/>
    <mergeCell ref="M258:T258"/>
    <mergeCell ref="A260:T260"/>
    <mergeCell ref="G261:I261"/>
    <mergeCell ref="L261:M261"/>
    <mergeCell ref="N261:Q261"/>
    <mergeCell ref="B252:C252"/>
    <mergeCell ref="A241:T241"/>
    <mergeCell ref="B242:C242"/>
    <mergeCell ref="B243:C243"/>
    <mergeCell ref="B244:C244"/>
    <mergeCell ref="B245:C245"/>
    <mergeCell ref="B247:C247"/>
    <mergeCell ref="A249:D249"/>
    <mergeCell ref="A250:T250"/>
    <mergeCell ref="B251:C251"/>
    <mergeCell ref="B246:C246"/>
    <mergeCell ref="B232:C232"/>
    <mergeCell ref="A233:T233"/>
    <mergeCell ref="B234:C234"/>
    <mergeCell ref="B236:C236"/>
    <mergeCell ref="B237:C237"/>
    <mergeCell ref="A240:D240"/>
    <mergeCell ref="B235:C235"/>
    <mergeCell ref="B238:C238"/>
    <mergeCell ref="D229:F229"/>
    <mergeCell ref="L229:M229"/>
    <mergeCell ref="N229:T229"/>
    <mergeCell ref="A230:A231"/>
    <mergeCell ref="B230:C231"/>
    <mergeCell ref="D230:D231"/>
    <mergeCell ref="F230:H230"/>
    <mergeCell ref="I230:I231"/>
    <mergeCell ref="J230:N230"/>
    <mergeCell ref="O230:T230"/>
    <mergeCell ref="A225:D225"/>
    <mergeCell ref="M226:T226"/>
    <mergeCell ref="A227:T227"/>
    <mergeCell ref="G228:I228"/>
    <mergeCell ref="L228:M228"/>
    <mergeCell ref="N228:Q228"/>
    <mergeCell ref="B220:C220"/>
    <mergeCell ref="A222:D222"/>
    <mergeCell ref="A223:D223"/>
    <mergeCell ref="A224:D224"/>
    <mergeCell ref="B215:C215"/>
    <mergeCell ref="A217:D217"/>
    <mergeCell ref="A218:T218"/>
    <mergeCell ref="B219:C219"/>
    <mergeCell ref="B211:C211"/>
    <mergeCell ref="B212:C212"/>
    <mergeCell ref="B213:C213"/>
    <mergeCell ref="B214:C214"/>
    <mergeCell ref="D199:F199"/>
    <mergeCell ref="A209:T209"/>
    <mergeCell ref="B210:C210"/>
    <mergeCell ref="O200:T200"/>
    <mergeCell ref="B202:C202"/>
    <mergeCell ref="A203:T203"/>
    <mergeCell ref="A200:A201"/>
    <mergeCell ref="B200:C201"/>
    <mergeCell ref="F200:H200"/>
    <mergeCell ref="B204:C204"/>
    <mergeCell ref="A197:T197"/>
    <mergeCell ref="G198:I198"/>
    <mergeCell ref="L198:M198"/>
    <mergeCell ref="N198:Q198"/>
    <mergeCell ref="B206:C206"/>
    <mergeCell ref="I200:I201"/>
    <mergeCell ref="A208:D208"/>
    <mergeCell ref="J200:N200"/>
    <mergeCell ref="B205:C205"/>
    <mergeCell ref="L199:M199"/>
    <mergeCell ref="N199:T199"/>
    <mergeCell ref="D200:D201"/>
    <mergeCell ref="B189:C189"/>
    <mergeCell ref="B190:C190"/>
    <mergeCell ref="A192:D192"/>
    <mergeCell ref="A193:D193"/>
    <mergeCell ref="A194:D194"/>
    <mergeCell ref="A195:D195"/>
    <mergeCell ref="M196:T196"/>
    <mergeCell ref="A187:D187"/>
    <mergeCell ref="A188:T188"/>
    <mergeCell ref="A178:D178"/>
    <mergeCell ref="A179:T179"/>
    <mergeCell ref="B180:C180"/>
    <mergeCell ref="B181:C181"/>
    <mergeCell ref="B182:C182"/>
    <mergeCell ref="B168:C169"/>
    <mergeCell ref="B183:C183"/>
    <mergeCell ref="B184:C184"/>
    <mergeCell ref="B185:C185"/>
    <mergeCell ref="B173:C173"/>
    <mergeCell ref="B174:C174"/>
    <mergeCell ref="B170:C170"/>
    <mergeCell ref="A171:T171"/>
    <mergeCell ref="B175:C175"/>
    <mergeCell ref="B176:C176"/>
    <mergeCell ref="B172:C172"/>
    <mergeCell ref="O168:T168"/>
    <mergeCell ref="A163:D163"/>
    <mergeCell ref="M164:T164"/>
    <mergeCell ref="A165:T165"/>
    <mergeCell ref="G166:I166"/>
    <mergeCell ref="L166:M166"/>
    <mergeCell ref="D167:F167"/>
    <mergeCell ref="L167:M167"/>
    <mergeCell ref="N167:T167"/>
    <mergeCell ref="A168:A169"/>
    <mergeCell ref="D168:D169"/>
    <mergeCell ref="F168:H168"/>
    <mergeCell ref="I168:I169"/>
    <mergeCell ref="J168:N168"/>
    <mergeCell ref="B153:C153"/>
    <mergeCell ref="A155:D155"/>
    <mergeCell ref="N166:Q166"/>
    <mergeCell ref="A156:T156"/>
    <mergeCell ref="B157:C157"/>
    <mergeCell ref="B158:C158"/>
    <mergeCell ref="A160:D160"/>
    <mergeCell ref="A161:D161"/>
    <mergeCell ref="A162:D162"/>
    <mergeCell ref="B149:C149"/>
    <mergeCell ref="B150:C150"/>
    <mergeCell ref="B151:C151"/>
    <mergeCell ref="B152:C152"/>
    <mergeCell ref="B148:C148"/>
    <mergeCell ref="O136:T136"/>
    <mergeCell ref="B138:C138"/>
    <mergeCell ref="A139:T139"/>
    <mergeCell ref="B140:C140"/>
    <mergeCell ref="B141:C141"/>
    <mergeCell ref="B143:C143"/>
    <mergeCell ref="A145:D145"/>
    <mergeCell ref="A146:T146"/>
    <mergeCell ref="B147:C147"/>
    <mergeCell ref="N135:T135"/>
    <mergeCell ref="B142:C142"/>
    <mergeCell ref="A136:A137"/>
    <mergeCell ref="B136:C137"/>
    <mergeCell ref="D136:D137"/>
    <mergeCell ref="F136:H136"/>
    <mergeCell ref="I136:I137"/>
    <mergeCell ref="A129:D129"/>
    <mergeCell ref="A130:D130"/>
    <mergeCell ref="J136:N136"/>
    <mergeCell ref="M131:T131"/>
    <mergeCell ref="A133:T133"/>
    <mergeCell ref="G134:I134"/>
    <mergeCell ref="L134:M134"/>
    <mergeCell ref="N134:Q134"/>
    <mergeCell ref="D135:F135"/>
    <mergeCell ref="L135:M135"/>
    <mergeCell ref="B124:C124"/>
    <mergeCell ref="B125:C125"/>
    <mergeCell ref="A127:D127"/>
    <mergeCell ref="A128:D128"/>
    <mergeCell ref="B119:C119"/>
    <mergeCell ref="B120:C120"/>
    <mergeCell ref="A122:D122"/>
    <mergeCell ref="A123:T123"/>
    <mergeCell ref="B110:C110"/>
    <mergeCell ref="B111:C111"/>
    <mergeCell ref="B107:C107"/>
    <mergeCell ref="B118:C118"/>
    <mergeCell ref="A113:D113"/>
    <mergeCell ref="A114:T114"/>
    <mergeCell ref="B115:C115"/>
    <mergeCell ref="B116:C116"/>
    <mergeCell ref="B117:C117"/>
    <mergeCell ref="B105:C105"/>
    <mergeCell ref="A106:T106"/>
    <mergeCell ref="B108:C108"/>
    <mergeCell ref="B109:C109"/>
    <mergeCell ref="D102:F102"/>
    <mergeCell ref="L102:M102"/>
    <mergeCell ref="N102:T102"/>
    <mergeCell ref="A103:A104"/>
    <mergeCell ref="B103:C104"/>
    <mergeCell ref="D103:D104"/>
    <mergeCell ref="F103:H103"/>
    <mergeCell ref="I103:I104"/>
    <mergeCell ref="J103:N103"/>
    <mergeCell ref="O103:T103"/>
    <mergeCell ref="A100:T100"/>
    <mergeCell ref="G101:I101"/>
    <mergeCell ref="L101:M101"/>
    <mergeCell ref="N101:Q101"/>
    <mergeCell ref="A96:D96"/>
    <mergeCell ref="A97:D97"/>
    <mergeCell ref="A98:D98"/>
    <mergeCell ref="M99:T99"/>
    <mergeCell ref="A95:D95"/>
    <mergeCell ref="A83:T83"/>
    <mergeCell ref="B84:C84"/>
    <mergeCell ref="B85:C85"/>
    <mergeCell ref="B86:C86"/>
    <mergeCell ref="B87:C87"/>
    <mergeCell ref="A90:D90"/>
    <mergeCell ref="A91:T91"/>
    <mergeCell ref="B92:C92"/>
    <mergeCell ref="B93:C93"/>
    <mergeCell ref="B88:C88"/>
    <mergeCell ref="B74:C74"/>
    <mergeCell ref="A75:T75"/>
    <mergeCell ref="B76:C76"/>
    <mergeCell ref="B78:C78"/>
    <mergeCell ref="B79:C79"/>
    <mergeCell ref="A82:D82"/>
    <mergeCell ref="B77:C77"/>
    <mergeCell ref="B80:C80"/>
    <mergeCell ref="D71:F71"/>
    <mergeCell ref="L71:M71"/>
    <mergeCell ref="N71:T71"/>
    <mergeCell ref="A72:A73"/>
    <mergeCell ref="B72:C73"/>
    <mergeCell ref="D72:D73"/>
    <mergeCell ref="F72:H72"/>
    <mergeCell ref="I72:I73"/>
    <mergeCell ref="J72:N72"/>
    <mergeCell ref="O72:T72"/>
    <mergeCell ref="A69:T69"/>
    <mergeCell ref="G70:I70"/>
    <mergeCell ref="L70:M70"/>
    <mergeCell ref="N70:Q70"/>
    <mergeCell ref="A64:D64"/>
    <mergeCell ref="A65:D65"/>
    <mergeCell ref="A66:D66"/>
    <mergeCell ref="M67:T67"/>
    <mergeCell ref="A59:T59"/>
    <mergeCell ref="B60:C60"/>
    <mergeCell ref="B61:C61"/>
    <mergeCell ref="A63:D63"/>
    <mergeCell ref="B56:C56"/>
    <mergeCell ref="A58:D58"/>
    <mergeCell ref="A48:D48"/>
    <mergeCell ref="A50:T50"/>
    <mergeCell ref="B51:C51"/>
    <mergeCell ref="B52:C52"/>
    <mergeCell ref="A40:A41"/>
    <mergeCell ref="B53:C53"/>
    <mergeCell ref="B54:C54"/>
    <mergeCell ref="B55:C55"/>
    <mergeCell ref="B46:C46"/>
    <mergeCell ref="N38:Q38"/>
    <mergeCell ref="D39:F39"/>
    <mergeCell ref="L39:M39"/>
    <mergeCell ref="N39:T39"/>
    <mergeCell ref="B42:C42"/>
    <mergeCell ref="A43:T43"/>
    <mergeCell ref="B44:C44"/>
    <mergeCell ref="B45:C45"/>
    <mergeCell ref="M36:T36"/>
    <mergeCell ref="B40:C41"/>
    <mergeCell ref="D40:D41"/>
    <mergeCell ref="F40:H40"/>
    <mergeCell ref="I40:I41"/>
    <mergeCell ref="J40:N40"/>
    <mergeCell ref="O40:T40"/>
    <mergeCell ref="A32:D32"/>
    <mergeCell ref="A33:D33"/>
    <mergeCell ref="A34:D34"/>
    <mergeCell ref="A35:D35"/>
    <mergeCell ref="A37:T37"/>
    <mergeCell ref="G38:I38"/>
    <mergeCell ref="L38:M38"/>
    <mergeCell ref="B22:C22"/>
    <mergeCell ref="B23:C23"/>
    <mergeCell ref="B24:C24"/>
    <mergeCell ref="A26:D26"/>
    <mergeCell ref="A28:T28"/>
    <mergeCell ref="B29:C29"/>
    <mergeCell ref="B30:C30"/>
    <mergeCell ref="B20:C20"/>
    <mergeCell ref="B21:C21"/>
    <mergeCell ref="B9:C9"/>
    <mergeCell ref="B10:C10"/>
    <mergeCell ref="B11:C11"/>
    <mergeCell ref="A15:D15"/>
    <mergeCell ref="A17:T17"/>
    <mergeCell ref="F5:H5"/>
    <mergeCell ref="I5:I6"/>
    <mergeCell ref="J5:N5"/>
    <mergeCell ref="B19:C19"/>
    <mergeCell ref="B12:C12"/>
    <mergeCell ref="B13:C13"/>
    <mergeCell ref="D4:F4"/>
    <mergeCell ref="L4:M4"/>
    <mergeCell ref="N4:T4"/>
    <mergeCell ref="B18:C18"/>
    <mergeCell ref="O5:T5"/>
    <mergeCell ref="B7:C7"/>
    <mergeCell ref="A8:T8"/>
    <mergeCell ref="A5:A6"/>
    <mergeCell ref="B5:C6"/>
    <mergeCell ref="D5:D6"/>
    <mergeCell ref="M1:T1"/>
    <mergeCell ref="A2:T2"/>
    <mergeCell ref="G3:I3"/>
    <mergeCell ref="L3:M3"/>
    <mergeCell ref="N3:Q3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75" r:id="rId1"/>
  <rowBreaks count="10" manualBreakCount="10">
    <brk id="35" max="255" man="1"/>
    <brk id="66" max="255" man="1"/>
    <brk id="98" max="255" man="1"/>
    <brk id="130" max="255" man="1"/>
    <brk id="163" max="255" man="1"/>
    <brk id="195" max="255" man="1"/>
    <brk id="225" max="255" man="1"/>
    <brk id="257" max="255" man="1"/>
    <brk id="291" max="255" man="1"/>
    <brk id="3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komp-pk</dc:creator>
  <cp:keywords/>
  <dc:description/>
  <cp:lastModifiedBy>komps</cp:lastModifiedBy>
  <cp:lastPrinted>2022-08-23T09:08:42Z</cp:lastPrinted>
  <dcterms:created xsi:type="dcterms:W3CDTF">2022-08-22T08:00:45Z</dcterms:created>
  <dcterms:modified xsi:type="dcterms:W3CDTF">2022-09-05T05:28:55Z</dcterms:modified>
  <cp:category/>
  <cp:version/>
  <cp:contentType/>
  <cp:contentStatus/>
</cp:coreProperties>
</file>